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Star\Desktop\Заявка на торги ремонт дорог 2015 год\"/>
    </mc:Choice>
  </mc:AlternateContent>
  <bookViews>
    <workbookView xWindow="0" yWindow="0" windowWidth="28800" windowHeight="12435" tabRatio="560" firstSheet="2" activeTab="2"/>
  </bookViews>
  <sheets>
    <sheet name="Анализ стоимости" sheetId="3" state="hidden" r:id="rId1"/>
    <sheet name="НМЦК" sheetId="4" state="hidden" r:id="rId2"/>
    <sheet name="НМЦК на печать" sheetId="11" r:id="rId3"/>
    <sheet name="Расчет инфляции" sheetId="6" state="hidden" r:id="rId4"/>
    <sheet name="Рецепты а.б." sheetId="7" state="hidden" r:id="rId5"/>
  </sheets>
  <externalReferences>
    <externalReference r:id="rId6"/>
  </externalReferences>
  <definedNames>
    <definedName name="_xlnm._FilterDatabase" localSheetId="0" hidden="1">'Анализ стоимости'!$A$3:$DI$56</definedName>
    <definedName name="_xlnm._FilterDatabase" localSheetId="1" hidden="1">НМЦК!$J$1:$J$47</definedName>
    <definedName name="_xlnm._FilterDatabase" localSheetId="2" hidden="1">'НМЦК на печать'!$K$1:$K$1674</definedName>
    <definedName name="_xlnm._FilterDatabase" localSheetId="3" hidden="1">'Расчет инфляции'!$Z$5:$Z$369</definedName>
    <definedName name="_xlnm._FilterDatabase" localSheetId="4" hidden="1">'Рецепты а.б.'!$A$4:$AW$50</definedName>
    <definedName name="Z_20674EAF_0582_4C28_9051_214C079DC982_.wvu.Cols" localSheetId="1" hidden="1">НМЦК!$I:$I</definedName>
    <definedName name="Z_20674EAF_0582_4C28_9051_214C079DC982_.wvu.Cols" localSheetId="2" hidden="1">'НМЦК на печать'!$J:$J</definedName>
    <definedName name="Z_20674EAF_0582_4C28_9051_214C079DC982_.wvu.PrintArea" localSheetId="1" hidden="1">НМЦК!$A$8:$D$46</definedName>
    <definedName name="Z_20674EAF_0582_4C28_9051_214C079DC982_.wvu.PrintArea" localSheetId="2" hidden="1">'НМЦК на печать'!$A$8:$D$43</definedName>
    <definedName name="Z_20674EAF_0582_4C28_9051_214C079DC982_.wvu.Rows" localSheetId="1" hidden="1">НМЦК!#REF!</definedName>
    <definedName name="Z_20674EAF_0582_4C28_9051_214C079DC982_.wvu.Rows" localSheetId="2" hidden="1">'НМЦК на печать'!#REF!</definedName>
    <definedName name="Z_43889114_04BF_44D3_992E_131E2975CB0B_.wvu.FilterData" localSheetId="0" hidden="1">'Анализ стоимости'!$A$3:$DI$56</definedName>
    <definedName name="Z_4A5FEB23_9FEA_4E9B_A143_FBC359C68DA8_.wvu.Cols" localSheetId="1" hidden="1">НМЦК!$I:$I</definedName>
    <definedName name="Z_4A5FEB23_9FEA_4E9B_A143_FBC359C68DA8_.wvu.Cols" localSheetId="2" hidden="1">'НМЦК на печать'!$J:$J</definedName>
    <definedName name="Z_4A5FEB23_9FEA_4E9B_A143_FBC359C68DA8_.wvu.FilterData" localSheetId="0" hidden="1">'Анализ стоимости'!$A$3:$DI$56</definedName>
    <definedName name="Z_4A5FEB23_9FEA_4E9B_A143_FBC359C68DA8_.wvu.FilterData" localSheetId="3" hidden="1">'Расчет инфляции'!$H$4:$X$370</definedName>
    <definedName name="Z_4A5FEB23_9FEA_4E9B_A143_FBC359C68DA8_.wvu.PrintArea" localSheetId="0" hidden="1">'Анализ стоимости'!$G$2:$BT$62</definedName>
    <definedName name="Z_4A5FEB23_9FEA_4E9B_A143_FBC359C68DA8_.wvu.PrintArea" localSheetId="1" hidden="1">НМЦК!$A$8:$D$46</definedName>
    <definedName name="Z_4A5FEB23_9FEA_4E9B_A143_FBC359C68DA8_.wvu.PrintArea" localSheetId="2" hidden="1">'НМЦК на печать'!$A$8:$D$43</definedName>
    <definedName name="Z_4A5FEB23_9FEA_4E9B_A143_FBC359C68DA8_.wvu.PrintTitles" localSheetId="0" hidden="1">'Анализ стоимости'!$2:$2</definedName>
    <definedName name="Z_4A5FEB23_9FEA_4E9B_A143_FBC359C68DA8_.wvu.Rows" localSheetId="0" hidden="1">'Анализ стоимости'!#REF!,'Анализ стоимости'!#REF!,'Анализ стоимости'!#REF!</definedName>
    <definedName name="Z_4A5FEB23_9FEA_4E9B_A143_FBC359C68DA8_.wvu.Rows" localSheetId="1" hidden="1">НМЦК!#REF!</definedName>
    <definedName name="Z_4A5FEB23_9FEA_4E9B_A143_FBC359C68DA8_.wvu.Rows" localSheetId="2" hidden="1">'НМЦК на печать'!#REF!</definedName>
    <definedName name="Z_67AC2CBC_2876_4E14_8EE2_582C5F737BC3_.wvu.Cols" localSheetId="0" hidden="1">'Анализ стоимости'!#REF!,'Анализ стоимости'!#REF!</definedName>
    <definedName name="Z_67AC2CBC_2876_4E14_8EE2_582C5F737BC3_.wvu.Cols" localSheetId="1" hidden="1">НМЦК!$I:$I</definedName>
    <definedName name="Z_67AC2CBC_2876_4E14_8EE2_582C5F737BC3_.wvu.Cols" localSheetId="2" hidden="1">'НМЦК на печать'!$J:$J</definedName>
    <definedName name="Z_67AC2CBC_2876_4E14_8EE2_582C5F737BC3_.wvu.FilterData" localSheetId="0" hidden="1">'Анализ стоимости'!$A$3:$DI$56</definedName>
    <definedName name="Z_67AC2CBC_2876_4E14_8EE2_582C5F737BC3_.wvu.FilterData" localSheetId="3" hidden="1">'Расчет инфляции'!$H$4:$X$370</definedName>
    <definedName name="Z_67AC2CBC_2876_4E14_8EE2_582C5F737BC3_.wvu.PrintArea" localSheetId="0" hidden="1">'Анализ стоимости'!$G$2:$BT$62</definedName>
    <definedName name="Z_67AC2CBC_2876_4E14_8EE2_582C5F737BC3_.wvu.PrintArea" localSheetId="1" hidden="1">НМЦК!$A$8:$D$46</definedName>
    <definedName name="Z_67AC2CBC_2876_4E14_8EE2_582C5F737BC3_.wvu.PrintArea" localSheetId="2" hidden="1">'НМЦК на печать'!$A$8:$D$43</definedName>
    <definedName name="Z_67AC2CBC_2876_4E14_8EE2_582C5F737BC3_.wvu.PrintTitles" localSheetId="0" hidden="1">'Анализ стоимости'!$2:$2</definedName>
    <definedName name="Z_76AC8A47_0222_474F_85DA_9CB477F01022_.wvu.Cols" localSheetId="0" hidden="1">'Анализ стоимости'!#REF!,'Анализ стоимости'!$J:$BI</definedName>
    <definedName name="Z_76AC8A47_0222_474F_85DA_9CB477F01022_.wvu.Cols" localSheetId="1" hidden="1">НМЦК!$I:$I</definedName>
    <definedName name="Z_76AC8A47_0222_474F_85DA_9CB477F01022_.wvu.Cols" localSheetId="2" hidden="1">'НМЦК на печать'!$J:$J</definedName>
    <definedName name="Z_76AC8A47_0222_474F_85DA_9CB477F01022_.wvu.FilterData" localSheetId="0" hidden="1">'Анализ стоимости'!$A$3:$DI$53</definedName>
    <definedName name="Z_76AC8A47_0222_474F_85DA_9CB477F01022_.wvu.FilterData" localSheetId="3" hidden="1">'Расчет инфляции'!$H$4:$X$370</definedName>
    <definedName name="Z_76AC8A47_0222_474F_85DA_9CB477F01022_.wvu.PrintArea" localSheetId="0" hidden="1">'Анализ стоимости'!$G$2:$BT$62</definedName>
    <definedName name="Z_76AC8A47_0222_474F_85DA_9CB477F01022_.wvu.PrintArea" localSheetId="1" hidden="1">НМЦК!$A$8:$D$46</definedName>
    <definedName name="Z_76AC8A47_0222_474F_85DA_9CB477F01022_.wvu.PrintArea" localSheetId="2" hidden="1">'НМЦК на печать'!$A$8:$D$43</definedName>
    <definedName name="Z_76AC8A47_0222_474F_85DA_9CB477F01022_.wvu.PrintTitles" localSheetId="0" hidden="1">'Анализ стоимости'!$2:$2</definedName>
    <definedName name="Z_76AC8A47_0222_474F_85DA_9CB477F01022_.wvu.Rows" localSheetId="0" hidden="1">'Анализ стоимости'!#REF!,'Анализ стоимости'!#REF!,'Анализ стоимости'!#REF!</definedName>
    <definedName name="Z_90F100AD_F246_46FD_9565_AB98EFB8DDA7_.wvu.Cols" localSheetId="1" hidden="1">НМЦК!$I:$I</definedName>
    <definedName name="Z_90F100AD_F246_46FD_9565_AB98EFB8DDA7_.wvu.Cols" localSheetId="2" hidden="1">'НМЦК на печать'!$J:$J</definedName>
    <definedName name="Z_90F100AD_F246_46FD_9565_AB98EFB8DDA7_.wvu.FilterData" localSheetId="0" hidden="1">'Анализ стоимости'!$A$3:$DI$56</definedName>
    <definedName name="Z_90F100AD_F246_46FD_9565_AB98EFB8DDA7_.wvu.FilterData" localSheetId="3" hidden="1">'Расчет инфляции'!$H$4:$X$370</definedName>
    <definedName name="Z_90F100AD_F246_46FD_9565_AB98EFB8DDA7_.wvu.PrintArea" localSheetId="0" hidden="1">'Анализ стоимости'!$G$2:$BT$62</definedName>
    <definedName name="Z_90F100AD_F246_46FD_9565_AB98EFB8DDA7_.wvu.PrintArea" localSheetId="1" hidden="1">НМЦК!$A$8:$D$46</definedName>
    <definedName name="Z_90F100AD_F246_46FD_9565_AB98EFB8DDA7_.wvu.PrintArea" localSheetId="2" hidden="1">'НМЦК на печать'!$A$8:$D$43</definedName>
    <definedName name="Z_90F100AD_F246_46FD_9565_AB98EFB8DDA7_.wvu.PrintTitles" localSheetId="0" hidden="1">'Анализ стоимости'!$2:$2</definedName>
    <definedName name="Z_90F100AD_F246_46FD_9565_AB98EFB8DDA7_.wvu.Rows" localSheetId="0" hidden="1">'Анализ стоимости'!#REF!,'Анализ стоимости'!#REF!,'Анализ стоимости'!#REF!</definedName>
    <definedName name="Z_9DAF7279_AD12_4D0F_ADE4_5141B65ABF3D_.wvu.FilterData" localSheetId="0" hidden="1">'Анализ стоимости'!$A$3:$DI$56</definedName>
    <definedName name="Z_A19576DF_5EAC_42FB_8EDC_956585D13816_.wvu.Cols" localSheetId="1" hidden="1">НМЦК!$I:$I</definedName>
    <definedName name="Z_A19576DF_5EAC_42FB_8EDC_956585D13816_.wvu.Cols" localSheetId="2" hidden="1">'НМЦК на печать'!$J:$J</definedName>
    <definedName name="Z_A19576DF_5EAC_42FB_8EDC_956585D13816_.wvu.PrintArea" localSheetId="1" hidden="1">НМЦК!$A$8:$D$46</definedName>
    <definedName name="Z_A19576DF_5EAC_42FB_8EDC_956585D13816_.wvu.PrintArea" localSheetId="2" hidden="1">'НМЦК на печать'!$A$8:$D$43</definedName>
    <definedName name="Z_A19576DF_5EAC_42FB_8EDC_956585D13816_.wvu.Rows" localSheetId="1" hidden="1">НМЦК!#REF!</definedName>
    <definedName name="Z_A19576DF_5EAC_42FB_8EDC_956585D13816_.wvu.Rows" localSheetId="2" hidden="1">'НМЦК на печать'!#REF!</definedName>
    <definedName name="Z_B8FD124D_31C2_4F4A_84F1_8C5F7E2A1D9D_.wvu.Cols" localSheetId="1" hidden="1">НМЦК!$I:$I</definedName>
    <definedName name="Z_B8FD124D_31C2_4F4A_84F1_8C5F7E2A1D9D_.wvu.Cols" localSheetId="2" hidden="1">'НМЦК на печать'!$J:$J</definedName>
    <definedName name="Z_B8FD124D_31C2_4F4A_84F1_8C5F7E2A1D9D_.wvu.PrintArea" localSheetId="1" hidden="1">НМЦК!$A$8:$D$46</definedName>
    <definedName name="Z_B8FD124D_31C2_4F4A_84F1_8C5F7E2A1D9D_.wvu.PrintArea" localSheetId="2" hidden="1">'НМЦК на печать'!$A$8:$D$43</definedName>
    <definedName name="Z_B8FD124D_31C2_4F4A_84F1_8C5F7E2A1D9D_.wvu.Rows" localSheetId="1" hidden="1">НМЦК!#REF!</definedName>
    <definedName name="Z_B8FD124D_31C2_4F4A_84F1_8C5F7E2A1D9D_.wvu.Rows" localSheetId="2" hidden="1">'НМЦК на печать'!#REF!</definedName>
    <definedName name="Z_BBEE06E4_9205_40DB_9C78_E17648755B00_.wvu.Cols" localSheetId="0" hidden="1">'Анализ стоимости'!#REF!</definedName>
    <definedName name="Z_BBEE06E4_9205_40DB_9C78_E17648755B00_.wvu.FilterData" localSheetId="0" hidden="1">'Анализ стоимости'!$A$3:$DI$56</definedName>
    <definedName name="Z_BBEE06E4_9205_40DB_9C78_E17648755B00_.wvu.FilterData" localSheetId="3" hidden="1">'Расчет инфляции'!$H$4:$X$370</definedName>
    <definedName name="Z_BBEE06E4_9205_40DB_9C78_E17648755B00_.wvu.PrintArea" localSheetId="0" hidden="1">'Анализ стоимости'!$G$2:$BT$62</definedName>
    <definedName name="Z_BBEE06E4_9205_40DB_9C78_E17648755B00_.wvu.PrintTitles" localSheetId="0" hidden="1">'Анализ стоимости'!$2:$2</definedName>
    <definedName name="Z_BBEE06E4_9205_40DB_9C78_E17648755B00_.wvu.Rows" localSheetId="0" hidden="1">'Анализ стоимости'!#REF!</definedName>
    <definedName name="Z_C619A84C_E4B0_44E1_A044_2C656063D1B7_.wvu.FilterData" localSheetId="0" hidden="1">'Анализ стоимости'!$A$3:$DI$56</definedName>
    <definedName name="Z_E031E075_6987_4F32_9116_EC6B3E9AF434_.wvu.Cols" localSheetId="1" hidden="1">НМЦК!$I:$I</definedName>
    <definedName name="Z_E031E075_6987_4F32_9116_EC6B3E9AF434_.wvu.Cols" localSheetId="2" hidden="1">'НМЦК на печать'!$J:$J</definedName>
    <definedName name="Z_E031E075_6987_4F32_9116_EC6B3E9AF434_.wvu.FilterData" localSheetId="0" hidden="1">'Анализ стоимости'!$A$3:$DI$56</definedName>
    <definedName name="Z_E031E075_6987_4F32_9116_EC6B3E9AF434_.wvu.FilterData" localSheetId="3" hidden="1">'Расчет инфляции'!$H$4:$X$370</definedName>
    <definedName name="Z_E031E075_6987_4F32_9116_EC6B3E9AF434_.wvu.PrintArea" localSheetId="0" hidden="1">'Анализ стоимости'!$G$2:$BT$62</definedName>
    <definedName name="Z_E031E075_6987_4F32_9116_EC6B3E9AF434_.wvu.PrintArea" localSheetId="1" hidden="1">НМЦК!$A$8:$D$46</definedName>
    <definedName name="Z_E031E075_6987_4F32_9116_EC6B3E9AF434_.wvu.PrintArea" localSheetId="2" hidden="1">'НМЦК на печать'!$A$8:$D$43</definedName>
    <definedName name="Z_E031E075_6987_4F32_9116_EC6B3E9AF434_.wvu.PrintTitles" localSheetId="0" hidden="1">'Анализ стоимости'!$2:$2</definedName>
    <definedName name="Z_E031E075_6987_4F32_9116_EC6B3E9AF434_.wvu.Rows" localSheetId="0" hidden="1">'Анализ стоимости'!#REF!,'Анализ стоимости'!#REF!,'Анализ стоимости'!#REF!</definedName>
    <definedName name="вид_работ">'Расчет инфляции'!$BD$1:$BD$20</definedName>
    <definedName name="_xlnm.Print_Titles" localSheetId="0">'Анализ стоимости'!$2:$2</definedName>
    <definedName name="инф">'Расчет инфляции'!$BD$25:$BJ$38</definedName>
    <definedName name="Компенсации">[1]Ресурсы!$A$4:$N$65536</definedName>
    <definedName name="_xlnm.Print_Area" localSheetId="0">'Анализ стоимости'!$G$2:$BT$62</definedName>
    <definedName name="_xlnm.Print_Area" localSheetId="1">НМЦК!$A$2:$D$45</definedName>
    <definedName name="_xlnm.Print_Area" localSheetId="2">'НМЦК на печать'!$A$2:$D$1674</definedName>
    <definedName name="Объекты">[1]Объекты!$A$3:$K$65536</definedName>
    <definedName name="район">'Расчет инфляции'!$BE$65:$BE$110</definedName>
    <definedName name="рем_содер">'Расчет инфляции'!$BD$1:$BK$22</definedName>
    <definedName name="рем2015">'Расчет инфляции'!$AJ$5:$AK$369</definedName>
    <definedName name="рем2016">'Расчет инфляции'!$AL$5:$AM$369</definedName>
    <definedName name="сод2015">'Расчет инфляции'!$AO$5:$AP$369</definedName>
    <definedName name="сод2016">'Расчет инфляции'!$AQ$5:$AR$369</definedName>
    <definedName name="таблица">'Анализ стоимости'!$A$4:$DJ$55</definedName>
    <definedName name="уров_цен">'Расчет инфляции'!$BD$25:$BD$38</definedName>
  </definedNames>
  <calcPr calcId="152511"/>
  <customWorkbookViews>
    <customWorkbookView name="Белошкура Андрей Александрович - Личное представление" guid="{76AC8A47-0222-474F-85DA-9CB477F01022}" mergeInterval="0" personalView="1" maximized="1" windowWidth="1436" windowHeight="667" activeSheetId="3"/>
    <customWorkbookView name="s_ermolaeva - Личное представление" guid="{4A5FEB23-9FEA-4E9B-A143-FBC359C68DA8}" mergeInterval="0" personalView="1" maximized="1" windowWidth="1276" windowHeight="878" activeSheetId="3"/>
    <customWorkbookView name="a_beloshkura - Личное представление" guid="{BBEE06E4-9205-40DB-9C78-E17648755B00}" mergeInterval="0" personalView="1" maximized="1" windowWidth="1436" windowHeight="728" activeSheetId="3"/>
    <customWorkbookView name="a_nabokina - Личное представление" guid="{67AC2CBC-2876-4E14-8EE2-582C5F737BC3}" mergeInterval="0" personalView="1" maximized="1" windowWidth="1020" windowHeight="603" activeSheetId="3"/>
    <customWorkbookView name="Смирнова Марина Владимировна - Личное представление" guid="{90F100AD-F246-46FD-9565-AB98EFB8DDA7}" mergeInterval="0" personalView="1" maximized="1" windowWidth="1276" windowHeight="769" tabRatio="606" activeSheetId="3"/>
    <customWorkbookView name="Ермолаева Светлана Владимировна - Личное представление" guid="{E031E075-6987-4F32-9116-EC6B3E9AF434}" mergeInterval="0" personalView="1" maximized="1" windowWidth="1276" windowHeight="805" activeSheetId="3"/>
  </customWorkbookViews>
</workbook>
</file>

<file path=xl/calcChain.xml><?xml version="1.0" encoding="utf-8"?>
<calcChain xmlns="http://schemas.openxmlformats.org/spreadsheetml/2006/main">
  <c r="CP5" i="3" l="1"/>
  <c r="K5" i="3"/>
  <c r="J5" i="3"/>
  <c r="CP6" i="3"/>
  <c r="K6" i="3"/>
  <c r="J6" i="3"/>
  <c r="K4" i="3"/>
  <c r="J4" i="3"/>
  <c r="P4" i="3" l="1"/>
  <c r="P14" i="3" l="1"/>
  <c r="P15" i="3"/>
  <c r="P16" i="3"/>
  <c r="P17" i="3"/>
  <c r="P18" i="3"/>
  <c r="P19" i="3"/>
  <c r="P20" i="3"/>
  <c r="P21" i="3"/>
  <c r="P22" i="3"/>
  <c r="P23" i="3"/>
  <c r="P24" i="3"/>
  <c r="P25" i="3"/>
  <c r="P26" i="3"/>
  <c r="P27" i="3"/>
  <c r="P28" i="3"/>
  <c r="P29" i="3"/>
  <c r="P30" i="3"/>
  <c r="P31" i="3"/>
  <c r="P32" i="3"/>
  <c r="P33" i="3"/>
  <c r="P34" i="3"/>
  <c r="P35" i="3"/>
  <c r="P36" i="3"/>
  <c r="P37" i="3"/>
  <c r="P38" i="3"/>
  <c r="P39" i="3"/>
  <c r="P40" i="3"/>
  <c r="P41" i="3"/>
  <c r="P42" i="3"/>
  <c r="P43" i="3"/>
  <c r="P44" i="3"/>
  <c r="P45" i="3"/>
  <c r="P46" i="3"/>
  <c r="P47" i="3"/>
  <c r="P48" i="3"/>
  <c r="P49" i="3"/>
  <c r="P50" i="3"/>
  <c r="P51" i="3"/>
  <c r="P52" i="3"/>
  <c r="P5" i="3"/>
  <c r="P6" i="3"/>
  <c r="P7" i="3"/>
  <c r="P8" i="3"/>
  <c r="P9" i="3"/>
  <c r="P10" i="3"/>
  <c r="P11" i="3"/>
  <c r="P12" i="3"/>
  <c r="P13" i="3"/>
  <c r="A1672" i="11" l="1"/>
  <c r="A1638" i="11"/>
  <c r="A1604" i="11"/>
  <c r="A1570" i="11"/>
  <c r="A1536" i="11"/>
  <c r="A1502" i="11"/>
  <c r="A1468" i="11"/>
  <c r="A1434" i="11"/>
  <c r="A1400" i="11"/>
  <c r="A1366" i="11"/>
  <c r="A1332" i="11"/>
  <c r="A1298" i="11"/>
  <c r="A1264" i="11"/>
  <c r="A1230" i="11"/>
  <c r="A1196" i="11"/>
  <c r="A1162" i="11"/>
  <c r="A1128" i="11"/>
  <c r="A1094" i="11"/>
  <c r="A1060" i="11"/>
  <c r="A1026" i="11"/>
  <c r="A992" i="11"/>
  <c r="A958" i="11"/>
  <c r="A924" i="11"/>
  <c r="A890" i="11"/>
  <c r="A856" i="11"/>
  <c r="A822" i="11"/>
  <c r="A788" i="11"/>
  <c r="A754" i="11"/>
  <c r="A720" i="11"/>
  <c r="A686" i="11"/>
  <c r="A652" i="11"/>
  <c r="A618" i="11"/>
  <c r="A584" i="11"/>
  <c r="A550" i="11"/>
  <c r="A516" i="11"/>
  <c r="A482" i="11"/>
  <c r="A448" i="11"/>
  <c r="A414" i="11"/>
  <c r="A380" i="11"/>
  <c r="A346" i="11"/>
  <c r="A312" i="11"/>
  <c r="A278" i="11"/>
  <c r="A244" i="11"/>
  <c r="A210" i="11"/>
  <c r="A176" i="11"/>
  <c r="A142" i="11"/>
  <c r="A108" i="11"/>
  <c r="A74" i="11"/>
  <c r="A40" i="11"/>
  <c r="D1672" i="11"/>
  <c r="D1638" i="11"/>
  <c r="D1604" i="11"/>
  <c r="D1570" i="11"/>
  <c r="D1536" i="11"/>
  <c r="D1502" i="11"/>
  <c r="D1468" i="11"/>
  <c r="D1434" i="11"/>
  <c r="D1400" i="11"/>
  <c r="D1366" i="11"/>
  <c r="D1332" i="11"/>
  <c r="D1298" i="11"/>
  <c r="D1264" i="11"/>
  <c r="D1230" i="11"/>
  <c r="D1196" i="11"/>
  <c r="D1162" i="11"/>
  <c r="D1128" i="11"/>
  <c r="D1094" i="11"/>
  <c r="D1060" i="11"/>
  <c r="D1026" i="11"/>
  <c r="D992" i="11"/>
  <c r="D958" i="11"/>
  <c r="D924" i="11"/>
  <c r="D890" i="11"/>
  <c r="D856" i="11"/>
  <c r="D822" i="11"/>
  <c r="D788" i="11"/>
  <c r="D754" i="11"/>
  <c r="D720" i="11"/>
  <c r="D686" i="11"/>
  <c r="D652" i="11"/>
  <c r="D618" i="11"/>
  <c r="D584" i="11"/>
  <c r="D550" i="11"/>
  <c r="D516" i="11"/>
  <c r="D482" i="11"/>
  <c r="D448" i="11"/>
  <c r="D414" i="11"/>
  <c r="D380" i="11"/>
  <c r="D346" i="11"/>
  <c r="D312" i="11"/>
  <c r="D278" i="11"/>
  <c r="D244" i="11"/>
  <c r="D210" i="11"/>
  <c r="D108" i="11"/>
  <c r="D142" i="11"/>
  <c r="D176" i="11"/>
  <c r="D74" i="11"/>
  <c r="D40" i="11"/>
  <c r="D5" i="11"/>
  <c r="C3" i="11"/>
  <c r="G3" i="11" s="1"/>
  <c r="A9" i="11" l="1"/>
  <c r="A5" i="3" l="1"/>
  <c r="BE35" i="6" l="1"/>
  <c r="BE34" i="6"/>
  <c r="BE32" i="6"/>
  <c r="BE28" i="6"/>
  <c r="BE27" i="6"/>
  <c r="FN5" i="3" l="1"/>
  <c r="FM5" i="3"/>
  <c r="FL5" i="3"/>
  <c r="FK5" i="3"/>
  <c r="FJ5" i="3"/>
  <c r="FI5" i="3"/>
  <c r="FH5" i="3"/>
  <c r="FG5" i="3"/>
  <c r="FF5" i="3"/>
  <c r="FE5" i="3"/>
  <c r="FD5" i="3"/>
  <c r="FC5" i="3"/>
  <c r="FB5" i="3"/>
  <c r="DW5" i="3" s="1"/>
  <c r="FA5" i="3"/>
  <c r="EZ5" i="3"/>
  <c r="EY5" i="3"/>
  <c r="EX5" i="3"/>
  <c r="EW5" i="3"/>
  <c r="EV5" i="3"/>
  <c r="DV5" i="3" s="1"/>
  <c r="EU5" i="3"/>
  <c r="ET5" i="3"/>
  <c r="ES5" i="3"/>
  <c r="ER5" i="3"/>
  <c r="EQ5" i="3"/>
  <c r="EP5" i="3"/>
  <c r="EO5" i="3"/>
  <c r="EN5" i="3"/>
  <c r="EM5" i="3"/>
  <c r="DT5" i="3" s="1"/>
  <c r="EL5" i="3"/>
  <c r="EK5" i="3"/>
  <c r="EJ5" i="3"/>
  <c r="EI5" i="3"/>
  <c r="EH5" i="3"/>
  <c r="EG5" i="3"/>
  <c r="EF5" i="3"/>
  <c r="EE5" i="3"/>
  <c r="ED5" i="3"/>
  <c r="EC5" i="3"/>
  <c r="EB5" i="3"/>
  <c r="EA5" i="3"/>
  <c r="DZ5" i="3"/>
  <c r="DY5" i="3"/>
  <c r="DM5" i="3"/>
  <c r="DH5" i="3"/>
  <c r="DG5" i="3"/>
  <c r="BP5" i="3"/>
  <c r="BO5" i="3"/>
  <c r="AC5" i="3"/>
  <c r="AH5" i="3" s="1"/>
  <c r="V5" i="3"/>
  <c r="U5" i="3"/>
  <c r="T5" i="3"/>
  <c r="O5" i="3"/>
  <c r="FN29" i="3"/>
  <c r="FM29" i="3"/>
  <c r="FL29" i="3"/>
  <c r="FK29" i="3"/>
  <c r="FJ29" i="3"/>
  <c r="FI29" i="3"/>
  <c r="FH29" i="3"/>
  <c r="FG29" i="3"/>
  <c r="FF29" i="3"/>
  <c r="FE29" i="3"/>
  <c r="FD29" i="3"/>
  <c r="FC29" i="3"/>
  <c r="FB29" i="3"/>
  <c r="FA29" i="3"/>
  <c r="EZ29" i="3"/>
  <c r="EY29" i="3"/>
  <c r="EX29" i="3"/>
  <c r="EW29" i="3"/>
  <c r="EV29" i="3"/>
  <c r="EU29" i="3"/>
  <c r="ET29" i="3"/>
  <c r="ES29" i="3"/>
  <c r="ER29" i="3"/>
  <c r="EQ29" i="3"/>
  <c r="EP29" i="3"/>
  <c r="EO29" i="3"/>
  <c r="EN29" i="3"/>
  <c r="EM29" i="3"/>
  <c r="EL29" i="3"/>
  <c r="EK29" i="3"/>
  <c r="EJ29" i="3"/>
  <c r="EI29" i="3"/>
  <c r="EH29" i="3"/>
  <c r="EG29" i="3"/>
  <c r="EF29" i="3"/>
  <c r="EE29" i="3"/>
  <c r="ED29" i="3"/>
  <c r="EC29" i="3"/>
  <c r="EB29" i="3"/>
  <c r="EA29" i="3"/>
  <c r="DZ29" i="3"/>
  <c r="DY29" i="3"/>
  <c r="DW29" i="3"/>
  <c r="DV29" i="3"/>
  <c r="DU29" i="3"/>
  <c r="DT29" i="3"/>
  <c r="DS29" i="3"/>
  <c r="DR29" i="3"/>
  <c r="DQ29" i="3"/>
  <c r="DP29" i="3"/>
  <c r="DO29" i="3"/>
  <c r="DN29" i="3"/>
  <c r="DM29" i="3"/>
  <c r="DL29" i="3"/>
  <c r="DH29" i="3"/>
  <c r="DG29" i="3"/>
  <c r="BP29" i="3"/>
  <c r="BO29" i="3"/>
  <c r="AC29" i="3"/>
  <c r="AH29" i="3" s="1"/>
  <c r="V29" i="3"/>
  <c r="AB29" i="3" s="1"/>
  <c r="U29" i="3"/>
  <c r="T29" i="3"/>
  <c r="O29" i="3"/>
  <c r="FN28" i="3"/>
  <c r="FM28" i="3"/>
  <c r="FL28" i="3"/>
  <c r="FK28" i="3"/>
  <c r="FJ28" i="3"/>
  <c r="FI28" i="3"/>
  <c r="FH28" i="3"/>
  <c r="FG28" i="3"/>
  <c r="FF28" i="3"/>
  <c r="FE28" i="3"/>
  <c r="FD28" i="3"/>
  <c r="FC28" i="3"/>
  <c r="FB28" i="3"/>
  <c r="FA28" i="3"/>
  <c r="EZ28" i="3"/>
  <c r="EY28" i="3"/>
  <c r="EX28" i="3"/>
  <c r="EW28" i="3"/>
  <c r="EV28" i="3"/>
  <c r="EU28" i="3"/>
  <c r="ET28" i="3"/>
  <c r="ES28" i="3"/>
  <c r="ER28" i="3"/>
  <c r="EQ28" i="3"/>
  <c r="EP28" i="3"/>
  <c r="EO28" i="3"/>
  <c r="EN28" i="3"/>
  <c r="EM28" i="3"/>
  <c r="EL28" i="3"/>
  <c r="EK28" i="3"/>
  <c r="EJ28" i="3"/>
  <c r="EI28" i="3"/>
  <c r="EH28" i="3"/>
  <c r="EG28" i="3"/>
  <c r="EF28" i="3"/>
  <c r="EE28" i="3"/>
  <c r="ED28" i="3"/>
  <c r="EC28" i="3"/>
  <c r="EB28" i="3"/>
  <c r="EA28" i="3"/>
  <c r="DZ28" i="3"/>
  <c r="DY28" i="3"/>
  <c r="DW28" i="3"/>
  <c r="DV28" i="3"/>
  <c r="DU28" i="3"/>
  <c r="DT28" i="3"/>
  <c r="DS28" i="3"/>
  <c r="DR28" i="3"/>
  <c r="DQ28" i="3"/>
  <c r="DP28" i="3"/>
  <c r="DO28" i="3"/>
  <c r="DN28" i="3"/>
  <c r="DM28" i="3"/>
  <c r="DL28" i="3"/>
  <c r="DH28" i="3"/>
  <c r="DG28" i="3"/>
  <c r="BP28" i="3"/>
  <c r="BO28" i="3"/>
  <c r="AC28" i="3"/>
  <c r="AH28" i="3" s="1"/>
  <c r="V28" i="3"/>
  <c r="AB28" i="3" s="1"/>
  <c r="U28" i="3"/>
  <c r="T28" i="3"/>
  <c r="O28" i="3"/>
  <c r="FN27" i="3"/>
  <c r="FM27" i="3"/>
  <c r="FL27" i="3"/>
  <c r="FK27" i="3"/>
  <c r="FJ27" i="3"/>
  <c r="FI27" i="3"/>
  <c r="FH27" i="3"/>
  <c r="FG27" i="3"/>
  <c r="FF27" i="3"/>
  <c r="FE27" i="3"/>
  <c r="FD27" i="3"/>
  <c r="FC27" i="3"/>
  <c r="FB27" i="3"/>
  <c r="FA27" i="3"/>
  <c r="EZ27" i="3"/>
  <c r="EY27" i="3"/>
  <c r="EX27" i="3"/>
  <c r="EW27" i="3"/>
  <c r="EV27" i="3"/>
  <c r="EU27" i="3"/>
  <c r="ET27" i="3"/>
  <c r="ES27" i="3"/>
  <c r="ER27" i="3"/>
  <c r="EQ27" i="3"/>
  <c r="EP27" i="3"/>
  <c r="EO27" i="3"/>
  <c r="EN27" i="3"/>
  <c r="EM27" i="3"/>
  <c r="EL27" i="3"/>
  <c r="EK27" i="3"/>
  <c r="EJ27" i="3"/>
  <c r="EI27" i="3"/>
  <c r="EH27" i="3"/>
  <c r="EG27" i="3"/>
  <c r="EF27" i="3"/>
  <c r="EE27" i="3"/>
  <c r="ED27" i="3"/>
  <c r="EC27" i="3"/>
  <c r="EB27" i="3"/>
  <c r="EA27" i="3"/>
  <c r="DZ27" i="3"/>
  <c r="DY27" i="3"/>
  <c r="DW27" i="3"/>
  <c r="DV27" i="3"/>
  <c r="DU27" i="3"/>
  <c r="DT27" i="3"/>
  <c r="DS27" i="3"/>
  <c r="DR27" i="3"/>
  <c r="DQ27" i="3"/>
  <c r="DP27" i="3"/>
  <c r="DO27" i="3"/>
  <c r="DN27" i="3"/>
  <c r="DM27" i="3"/>
  <c r="DL27" i="3"/>
  <c r="DH27" i="3"/>
  <c r="DG27" i="3"/>
  <c r="BP27" i="3"/>
  <c r="BO27" i="3"/>
  <c r="AC27" i="3"/>
  <c r="AH27" i="3" s="1"/>
  <c r="V27" i="3"/>
  <c r="AB27" i="3" s="1"/>
  <c r="U27" i="3"/>
  <c r="T27" i="3"/>
  <c r="O27" i="3"/>
  <c r="FN26" i="3"/>
  <c r="FM26" i="3"/>
  <c r="FL26" i="3"/>
  <c r="FK26" i="3"/>
  <c r="FJ26" i="3"/>
  <c r="FI26" i="3"/>
  <c r="FH26" i="3"/>
  <c r="FG26" i="3"/>
  <c r="FF26" i="3"/>
  <c r="FE26" i="3"/>
  <c r="FD26" i="3"/>
  <c r="FC26" i="3"/>
  <c r="FB26" i="3"/>
  <c r="FA26" i="3"/>
  <c r="EZ26" i="3"/>
  <c r="EY26" i="3"/>
  <c r="EX26" i="3"/>
  <c r="EW26" i="3"/>
  <c r="EV26" i="3"/>
  <c r="EU26" i="3"/>
  <c r="ET26" i="3"/>
  <c r="ES26" i="3"/>
  <c r="ER26" i="3"/>
  <c r="EQ26" i="3"/>
  <c r="EP26" i="3"/>
  <c r="EO26" i="3"/>
  <c r="EN26" i="3"/>
  <c r="EM26" i="3"/>
  <c r="EL26" i="3"/>
  <c r="EK26" i="3"/>
  <c r="EJ26" i="3"/>
  <c r="EI26" i="3"/>
  <c r="EH26" i="3"/>
  <c r="EG26" i="3"/>
  <c r="EF26" i="3"/>
  <c r="EE26" i="3"/>
  <c r="ED26" i="3"/>
  <c r="EC26" i="3"/>
  <c r="EB26" i="3"/>
  <c r="EA26" i="3"/>
  <c r="DZ26" i="3"/>
  <c r="DY26" i="3"/>
  <c r="DW26" i="3"/>
  <c r="DV26" i="3"/>
  <c r="DU26" i="3"/>
  <c r="DT26" i="3"/>
  <c r="DS26" i="3"/>
  <c r="DR26" i="3"/>
  <c r="DQ26" i="3"/>
  <c r="DP26" i="3"/>
  <c r="DO26" i="3"/>
  <c r="DN26" i="3"/>
  <c r="DM26" i="3"/>
  <c r="DL26" i="3"/>
  <c r="DH26" i="3"/>
  <c r="DG26" i="3"/>
  <c r="BP26" i="3"/>
  <c r="BO26" i="3"/>
  <c r="AC26" i="3"/>
  <c r="AH26" i="3" s="1"/>
  <c r="V26" i="3"/>
  <c r="AB26" i="3" s="1"/>
  <c r="U26" i="3"/>
  <c r="AA26" i="3" s="1"/>
  <c r="T26" i="3"/>
  <c r="O26" i="3"/>
  <c r="FN25" i="3"/>
  <c r="FM25" i="3"/>
  <c r="FL25" i="3"/>
  <c r="FK25" i="3"/>
  <c r="FJ25" i="3"/>
  <c r="FI25" i="3"/>
  <c r="FH25" i="3"/>
  <c r="FG25" i="3"/>
  <c r="FF25" i="3"/>
  <c r="FE25" i="3"/>
  <c r="FD25" i="3"/>
  <c r="FC25" i="3"/>
  <c r="FB25" i="3"/>
  <c r="FA25" i="3"/>
  <c r="EZ25" i="3"/>
  <c r="EY25" i="3"/>
  <c r="EX25" i="3"/>
  <c r="EW25" i="3"/>
  <c r="EV25" i="3"/>
  <c r="EU25" i="3"/>
  <c r="ET25" i="3"/>
  <c r="ES25" i="3"/>
  <c r="ER25" i="3"/>
  <c r="EQ25" i="3"/>
  <c r="EP25" i="3"/>
  <c r="EO25" i="3"/>
  <c r="EN25" i="3"/>
  <c r="EM25" i="3"/>
  <c r="EL25" i="3"/>
  <c r="EK25" i="3"/>
  <c r="EJ25" i="3"/>
  <c r="EI25" i="3"/>
  <c r="EH25" i="3"/>
  <c r="EG25" i="3"/>
  <c r="EF25" i="3"/>
  <c r="EE25" i="3"/>
  <c r="ED25" i="3"/>
  <c r="EC25" i="3"/>
  <c r="EB25" i="3"/>
  <c r="EA25" i="3"/>
  <c r="DZ25" i="3"/>
  <c r="DY25" i="3"/>
  <c r="DW25" i="3"/>
  <c r="DV25" i="3"/>
  <c r="DU25" i="3"/>
  <c r="DT25" i="3"/>
  <c r="DS25" i="3"/>
  <c r="DR25" i="3"/>
  <c r="DQ25" i="3"/>
  <c r="DP25" i="3"/>
  <c r="DO25" i="3"/>
  <c r="DN25" i="3"/>
  <c r="DM25" i="3"/>
  <c r="DL25" i="3"/>
  <c r="DH25" i="3"/>
  <c r="DG25" i="3"/>
  <c r="BP25" i="3"/>
  <c r="BO25" i="3"/>
  <c r="AC25" i="3"/>
  <c r="AH25" i="3" s="1"/>
  <c r="V25" i="3"/>
  <c r="AB25" i="3" s="1"/>
  <c r="U25" i="3"/>
  <c r="T25" i="3"/>
  <c r="O25" i="3"/>
  <c r="FN24" i="3"/>
  <c r="FM24" i="3"/>
  <c r="FL24" i="3"/>
  <c r="FK24" i="3"/>
  <c r="FJ24" i="3"/>
  <c r="FI24" i="3"/>
  <c r="FH24" i="3"/>
  <c r="FG24" i="3"/>
  <c r="FF24" i="3"/>
  <c r="FE24" i="3"/>
  <c r="FD24" i="3"/>
  <c r="FC24" i="3"/>
  <c r="FB24" i="3"/>
  <c r="FA24" i="3"/>
  <c r="EZ24" i="3"/>
  <c r="EY24" i="3"/>
  <c r="EX24" i="3"/>
  <c r="EW24" i="3"/>
  <c r="EV24" i="3"/>
  <c r="EU24" i="3"/>
  <c r="ET24" i="3"/>
  <c r="ES24" i="3"/>
  <c r="ER24" i="3"/>
  <c r="EQ24" i="3"/>
  <c r="EP24" i="3"/>
  <c r="EO24" i="3"/>
  <c r="EN24" i="3"/>
  <c r="EM24" i="3"/>
  <c r="EL24" i="3"/>
  <c r="EK24" i="3"/>
  <c r="EJ24" i="3"/>
  <c r="EI24" i="3"/>
  <c r="EH24" i="3"/>
  <c r="EG24" i="3"/>
  <c r="EF24" i="3"/>
  <c r="EE24" i="3"/>
  <c r="ED24" i="3"/>
  <c r="EC24" i="3"/>
  <c r="EB24" i="3"/>
  <c r="EA24" i="3"/>
  <c r="DZ24" i="3"/>
  <c r="DY24" i="3"/>
  <c r="DW24" i="3"/>
  <c r="DV24" i="3"/>
  <c r="DU24" i="3"/>
  <c r="DT24" i="3"/>
  <c r="DS24" i="3"/>
  <c r="DR24" i="3"/>
  <c r="DQ24" i="3"/>
  <c r="DP24" i="3"/>
  <c r="DO24" i="3"/>
  <c r="DN24" i="3"/>
  <c r="DM24" i="3"/>
  <c r="DL24" i="3"/>
  <c r="DH24" i="3"/>
  <c r="DG24" i="3"/>
  <c r="BP24" i="3"/>
  <c r="BO24" i="3"/>
  <c r="AC24" i="3"/>
  <c r="AH24" i="3" s="1"/>
  <c r="V24" i="3"/>
  <c r="AB24" i="3" s="1"/>
  <c r="U24" i="3"/>
  <c r="T24" i="3"/>
  <c r="O24" i="3"/>
  <c r="FN23" i="3"/>
  <c r="FM23" i="3"/>
  <c r="FL23" i="3"/>
  <c r="FK23" i="3"/>
  <c r="FJ23" i="3"/>
  <c r="FI23" i="3"/>
  <c r="FH23" i="3"/>
  <c r="FG23" i="3"/>
  <c r="FF23" i="3"/>
  <c r="FE23" i="3"/>
  <c r="FD23" i="3"/>
  <c r="FC23" i="3"/>
  <c r="FB23" i="3"/>
  <c r="FA23" i="3"/>
  <c r="EZ23" i="3"/>
  <c r="EY23" i="3"/>
  <c r="EX23" i="3"/>
  <c r="EW23" i="3"/>
  <c r="EV23" i="3"/>
  <c r="EU23" i="3"/>
  <c r="ET23" i="3"/>
  <c r="ES23" i="3"/>
  <c r="ER23" i="3"/>
  <c r="EQ23" i="3"/>
  <c r="EP23" i="3"/>
  <c r="EO23" i="3"/>
  <c r="EN23" i="3"/>
  <c r="EM23" i="3"/>
  <c r="EL23" i="3"/>
  <c r="EK23" i="3"/>
  <c r="EJ23" i="3"/>
  <c r="EI23" i="3"/>
  <c r="EH23" i="3"/>
  <c r="EG23" i="3"/>
  <c r="EF23" i="3"/>
  <c r="EE23" i="3"/>
  <c r="ED23" i="3"/>
  <c r="EC23" i="3"/>
  <c r="EB23" i="3"/>
  <c r="EA23" i="3"/>
  <c r="DZ23" i="3"/>
  <c r="DY23" i="3"/>
  <c r="DW23" i="3"/>
  <c r="DV23" i="3"/>
  <c r="DU23" i="3"/>
  <c r="DT23" i="3"/>
  <c r="DS23" i="3"/>
  <c r="DR23" i="3"/>
  <c r="DQ23" i="3"/>
  <c r="DP23" i="3"/>
  <c r="DO23" i="3"/>
  <c r="DN23" i="3"/>
  <c r="DM23" i="3"/>
  <c r="DL23" i="3"/>
  <c r="DH23" i="3"/>
  <c r="DG23" i="3"/>
  <c r="BP23" i="3"/>
  <c r="BO23" i="3"/>
  <c r="AC23" i="3"/>
  <c r="AH23" i="3" s="1"/>
  <c r="V23" i="3"/>
  <c r="AB23" i="3" s="1"/>
  <c r="U23" i="3"/>
  <c r="T23" i="3"/>
  <c r="O23" i="3"/>
  <c r="FN22" i="3"/>
  <c r="FM22" i="3"/>
  <c r="FL22" i="3"/>
  <c r="FK22" i="3"/>
  <c r="FJ22" i="3"/>
  <c r="FI22" i="3"/>
  <c r="FH22" i="3"/>
  <c r="FG22" i="3"/>
  <c r="FF22" i="3"/>
  <c r="FE22" i="3"/>
  <c r="FD22" i="3"/>
  <c r="FC22" i="3"/>
  <c r="FB22" i="3"/>
  <c r="FA22" i="3"/>
  <c r="EZ22" i="3"/>
  <c r="EY22" i="3"/>
  <c r="EX22" i="3"/>
  <c r="EW22" i="3"/>
  <c r="EV22" i="3"/>
  <c r="EU22" i="3"/>
  <c r="ET22" i="3"/>
  <c r="ES22" i="3"/>
  <c r="ER22" i="3"/>
  <c r="EQ22" i="3"/>
  <c r="EP22" i="3"/>
  <c r="EO22" i="3"/>
  <c r="EN22" i="3"/>
  <c r="EM22" i="3"/>
  <c r="EL22" i="3"/>
  <c r="EK22" i="3"/>
  <c r="EJ22" i="3"/>
  <c r="EI22" i="3"/>
  <c r="EH22" i="3"/>
  <c r="EG22" i="3"/>
  <c r="EF22" i="3"/>
  <c r="EE22" i="3"/>
  <c r="ED22" i="3"/>
  <c r="EC22" i="3"/>
  <c r="EB22" i="3"/>
  <c r="EA22" i="3"/>
  <c r="DZ22" i="3"/>
  <c r="DY22" i="3"/>
  <c r="DW22" i="3"/>
  <c r="DV22" i="3"/>
  <c r="DU22" i="3"/>
  <c r="DT22" i="3"/>
  <c r="DS22" i="3"/>
  <c r="DR22" i="3"/>
  <c r="DQ22" i="3"/>
  <c r="DP22" i="3"/>
  <c r="DO22" i="3"/>
  <c r="DN22" i="3"/>
  <c r="DM22" i="3"/>
  <c r="DL22" i="3"/>
  <c r="DH22" i="3"/>
  <c r="DG22" i="3"/>
  <c r="BP22" i="3"/>
  <c r="BO22" i="3"/>
  <c r="AC22" i="3"/>
  <c r="AH22" i="3" s="1"/>
  <c r="V22" i="3"/>
  <c r="AB22" i="3" s="1"/>
  <c r="U22" i="3"/>
  <c r="AA22" i="3" s="1"/>
  <c r="T22" i="3"/>
  <c r="O22" i="3"/>
  <c r="FN21" i="3"/>
  <c r="FM21" i="3"/>
  <c r="FL21" i="3"/>
  <c r="FK21" i="3"/>
  <c r="FJ21" i="3"/>
  <c r="FI21" i="3"/>
  <c r="FH21" i="3"/>
  <c r="FG21" i="3"/>
  <c r="FF21" i="3"/>
  <c r="FE21" i="3"/>
  <c r="FD21" i="3"/>
  <c r="FC21" i="3"/>
  <c r="FB21" i="3"/>
  <c r="FA21" i="3"/>
  <c r="EZ21" i="3"/>
  <c r="EY21" i="3"/>
  <c r="EX21" i="3"/>
  <c r="EW21" i="3"/>
  <c r="EV21" i="3"/>
  <c r="EU21" i="3"/>
  <c r="ET21" i="3"/>
  <c r="ES21" i="3"/>
  <c r="ER21" i="3"/>
  <c r="EQ21" i="3"/>
  <c r="EP21" i="3"/>
  <c r="EO21" i="3"/>
  <c r="EN21" i="3"/>
  <c r="EM21" i="3"/>
  <c r="EL21" i="3"/>
  <c r="EK21" i="3"/>
  <c r="EJ21" i="3"/>
  <c r="EI21" i="3"/>
  <c r="EH21" i="3"/>
  <c r="EG21" i="3"/>
  <c r="EF21" i="3"/>
  <c r="EE21" i="3"/>
  <c r="ED21" i="3"/>
  <c r="EC21" i="3"/>
  <c r="EB21" i="3"/>
  <c r="EA21" i="3"/>
  <c r="DZ21" i="3"/>
  <c r="DY21" i="3"/>
  <c r="DW21" i="3"/>
  <c r="DV21" i="3"/>
  <c r="DU21" i="3"/>
  <c r="DT21" i="3"/>
  <c r="DS21" i="3"/>
  <c r="DR21" i="3"/>
  <c r="DQ21" i="3"/>
  <c r="DP21" i="3"/>
  <c r="DO21" i="3"/>
  <c r="DN21" i="3"/>
  <c r="DM21" i="3"/>
  <c r="DL21" i="3"/>
  <c r="DH21" i="3"/>
  <c r="DG21" i="3"/>
  <c r="BP21" i="3"/>
  <c r="BO21" i="3"/>
  <c r="AC21" i="3"/>
  <c r="AH21" i="3" s="1"/>
  <c r="V21" i="3"/>
  <c r="U21" i="3"/>
  <c r="AA21" i="3" s="1"/>
  <c r="T21" i="3"/>
  <c r="O21" i="3"/>
  <c r="FN20" i="3"/>
  <c r="FM20" i="3"/>
  <c r="FL20" i="3"/>
  <c r="FK20" i="3"/>
  <c r="FJ20" i="3"/>
  <c r="FI20" i="3"/>
  <c r="FH20" i="3"/>
  <c r="FG20" i="3"/>
  <c r="FF20" i="3"/>
  <c r="FE20" i="3"/>
  <c r="FD20" i="3"/>
  <c r="FC20" i="3"/>
  <c r="FB20" i="3"/>
  <c r="FA20" i="3"/>
  <c r="EZ20" i="3"/>
  <c r="EY20" i="3"/>
  <c r="EX20" i="3"/>
  <c r="EW20" i="3"/>
  <c r="EV20" i="3"/>
  <c r="EU20" i="3"/>
  <c r="ET20" i="3"/>
  <c r="ES20" i="3"/>
  <c r="ER20" i="3"/>
  <c r="EQ20" i="3"/>
  <c r="EP20" i="3"/>
  <c r="EO20" i="3"/>
  <c r="EN20" i="3"/>
  <c r="EM20" i="3"/>
  <c r="EL20" i="3"/>
  <c r="EK20" i="3"/>
  <c r="EJ20" i="3"/>
  <c r="EI20" i="3"/>
  <c r="EH20" i="3"/>
  <c r="EG20" i="3"/>
  <c r="EF20" i="3"/>
  <c r="EE20" i="3"/>
  <c r="ED20" i="3"/>
  <c r="EC20" i="3"/>
  <c r="EB20" i="3"/>
  <c r="EA20" i="3"/>
  <c r="DZ20" i="3"/>
  <c r="DY20" i="3"/>
  <c r="DW20" i="3"/>
  <c r="DV20" i="3"/>
  <c r="DU20" i="3"/>
  <c r="DT20" i="3"/>
  <c r="DS20" i="3"/>
  <c r="DR20" i="3"/>
  <c r="DQ20" i="3"/>
  <c r="DP20" i="3"/>
  <c r="DO20" i="3"/>
  <c r="DN20" i="3"/>
  <c r="DM20" i="3"/>
  <c r="DL20" i="3"/>
  <c r="DH20" i="3"/>
  <c r="DG20" i="3"/>
  <c r="BP20" i="3"/>
  <c r="BO20" i="3"/>
  <c r="AC20" i="3"/>
  <c r="AH20" i="3" s="1"/>
  <c r="V20" i="3"/>
  <c r="U20" i="3"/>
  <c r="AA20" i="3" s="1"/>
  <c r="T20" i="3"/>
  <c r="O20" i="3"/>
  <c r="FN19" i="3"/>
  <c r="FM19" i="3"/>
  <c r="FL19" i="3"/>
  <c r="FK19" i="3"/>
  <c r="FJ19" i="3"/>
  <c r="FI19" i="3"/>
  <c r="FH19" i="3"/>
  <c r="FG19" i="3"/>
  <c r="FF19" i="3"/>
  <c r="FE19" i="3"/>
  <c r="FD19" i="3"/>
  <c r="FC19" i="3"/>
  <c r="FB19" i="3"/>
  <c r="FA19" i="3"/>
  <c r="EZ19" i="3"/>
  <c r="EY19" i="3"/>
  <c r="EX19" i="3"/>
  <c r="EW19" i="3"/>
  <c r="EV19" i="3"/>
  <c r="EU19" i="3"/>
  <c r="ET19" i="3"/>
  <c r="ES19" i="3"/>
  <c r="ER19" i="3"/>
  <c r="EQ19" i="3"/>
  <c r="EP19" i="3"/>
  <c r="EO19" i="3"/>
  <c r="EN19" i="3"/>
  <c r="EM19" i="3"/>
  <c r="EL19" i="3"/>
  <c r="EK19" i="3"/>
  <c r="EJ19" i="3"/>
  <c r="EI19" i="3"/>
  <c r="EH19" i="3"/>
  <c r="EG19" i="3"/>
  <c r="EF19" i="3"/>
  <c r="EE19" i="3"/>
  <c r="ED19" i="3"/>
  <c r="EC19" i="3"/>
  <c r="EB19" i="3"/>
  <c r="EA19" i="3"/>
  <c r="DZ19" i="3"/>
  <c r="DY19" i="3"/>
  <c r="DW19" i="3"/>
  <c r="DV19" i="3"/>
  <c r="DU19" i="3"/>
  <c r="DT19" i="3"/>
  <c r="DS19" i="3"/>
  <c r="DR19" i="3"/>
  <c r="DQ19" i="3"/>
  <c r="DP19" i="3"/>
  <c r="DO19" i="3"/>
  <c r="DN19" i="3"/>
  <c r="DM19" i="3"/>
  <c r="DL19" i="3"/>
  <c r="DH19" i="3"/>
  <c r="DG19" i="3"/>
  <c r="BP19" i="3"/>
  <c r="BO19" i="3"/>
  <c r="AC19" i="3"/>
  <c r="AH19" i="3" s="1"/>
  <c r="V19" i="3"/>
  <c r="AB19" i="3" s="1"/>
  <c r="U19" i="3"/>
  <c r="AA19" i="3" s="1"/>
  <c r="T19" i="3"/>
  <c r="O19" i="3"/>
  <c r="FN18" i="3"/>
  <c r="FM18" i="3"/>
  <c r="FL18" i="3"/>
  <c r="FK18" i="3"/>
  <c r="FJ18" i="3"/>
  <c r="FI18" i="3"/>
  <c r="FH18" i="3"/>
  <c r="FG18" i="3"/>
  <c r="FF18" i="3"/>
  <c r="FE18" i="3"/>
  <c r="FD18" i="3"/>
  <c r="FC18" i="3"/>
  <c r="FB18" i="3"/>
  <c r="FA18" i="3"/>
  <c r="EZ18" i="3"/>
  <c r="EY18" i="3"/>
  <c r="EX18" i="3"/>
  <c r="EW18" i="3"/>
  <c r="EV18" i="3"/>
  <c r="EU18" i="3"/>
  <c r="ET18" i="3"/>
  <c r="ES18" i="3"/>
  <c r="ER18" i="3"/>
  <c r="EQ18" i="3"/>
  <c r="EP18" i="3"/>
  <c r="EO18" i="3"/>
  <c r="EN18" i="3"/>
  <c r="EM18" i="3"/>
  <c r="EL18" i="3"/>
  <c r="EK18" i="3"/>
  <c r="EJ18" i="3"/>
  <c r="EI18" i="3"/>
  <c r="EH18" i="3"/>
  <c r="EG18" i="3"/>
  <c r="EF18" i="3"/>
  <c r="EE18" i="3"/>
  <c r="ED18" i="3"/>
  <c r="EC18" i="3"/>
  <c r="EB18" i="3"/>
  <c r="EA18" i="3"/>
  <c r="DZ18" i="3"/>
  <c r="DY18" i="3"/>
  <c r="DW18" i="3"/>
  <c r="DV18" i="3"/>
  <c r="DU18" i="3"/>
  <c r="DT18" i="3"/>
  <c r="DS18" i="3"/>
  <c r="DR18" i="3"/>
  <c r="DQ18" i="3"/>
  <c r="DP18" i="3"/>
  <c r="DO18" i="3"/>
  <c r="DN18" i="3"/>
  <c r="DM18" i="3"/>
  <c r="DL18" i="3"/>
  <c r="DH18" i="3"/>
  <c r="DG18" i="3"/>
  <c r="BP18" i="3"/>
  <c r="BO18" i="3"/>
  <c r="AC18" i="3"/>
  <c r="AH18" i="3" s="1"/>
  <c r="V18" i="3"/>
  <c r="AB18" i="3" s="1"/>
  <c r="U18" i="3"/>
  <c r="AA18" i="3" s="1"/>
  <c r="T18" i="3"/>
  <c r="O18" i="3"/>
  <c r="FN17" i="3"/>
  <c r="FM17" i="3"/>
  <c r="FL17" i="3"/>
  <c r="FK17" i="3"/>
  <c r="FJ17" i="3"/>
  <c r="FI17" i="3"/>
  <c r="FH17" i="3"/>
  <c r="FG17" i="3"/>
  <c r="FF17" i="3"/>
  <c r="FE17" i="3"/>
  <c r="FD17" i="3"/>
  <c r="FC17" i="3"/>
  <c r="FB17" i="3"/>
  <c r="FA17" i="3"/>
  <c r="EZ17" i="3"/>
  <c r="EY17" i="3"/>
  <c r="EX17" i="3"/>
  <c r="EW17" i="3"/>
  <c r="EV17" i="3"/>
  <c r="EU17" i="3"/>
  <c r="ET17" i="3"/>
  <c r="ES17" i="3"/>
  <c r="ER17" i="3"/>
  <c r="EQ17" i="3"/>
  <c r="EP17" i="3"/>
  <c r="EO17" i="3"/>
  <c r="EN17" i="3"/>
  <c r="EM17" i="3"/>
  <c r="EL17" i="3"/>
  <c r="EK17" i="3"/>
  <c r="EJ17" i="3"/>
  <c r="EI17" i="3"/>
  <c r="EH17" i="3"/>
  <c r="EG17" i="3"/>
  <c r="EF17" i="3"/>
  <c r="EE17" i="3"/>
  <c r="ED17" i="3"/>
  <c r="EC17" i="3"/>
  <c r="EB17" i="3"/>
  <c r="EA17" i="3"/>
  <c r="DZ17" i="3"/>
  <c r="DY17" i="3"/>
  <c r="DW17" i="3"/>
  <c r="DV17" i="3"/>
  <c r="DU17" i="3"/>
  <c r="DT17" i="3"/>
  <c r="DS17" i="3"/>
  <c r="DR17" i="3"/>
  <c r="DQ17" i="3"/>
  <c r="DP17" i="3"/>
  <c r="DO17" i="3"/>
  <c r="DN17" i="3"/>
  <c r="DM17" i="3"/>
  <c r="DL17" i="3"/>
  <c r="DH17" i="3"/>
  <c r="DG17" i="3"/>
  <c r="BP17" i="3"/>
  <c r="BO17" i="3"/>
  <c r="AC17" i="3"/>
  <c r="AH17" i="3" s="1"/>
  <c r="V17" i="3"/>
  <c r="U17" i="3"/>
  <c r="AA17" i="3" s="1"/>
  <c r="T17" i="3"/>
  <c r="O17" i="3"/>
  <c r="FN16" i="3"/>
  <c r="FM16" i="3"/>
  <c r="FL16" i="3"/>
  <c r="FK16" i="3"/>
  <c r="FJ16" i="3"/>
  <c r="FI16" i="3"/>
  <c r="FH16" i="3"/>
  <c r="FG16" i="3"/>
  <c r="FF16" i="3"/>
  <c r="FE16" i="3"/>
  <c r="FD16" i="3"/>
  <c r="FC16" i="3"/>
  <c r="FB16" i="3"/>
  <c r="FA16" i="3"/>
  <c r="EZ16" i="3"/>
  <c r="EY16" i="3"/>
  <c r="EX16" i="3"/>
  <c r="EW16" i="3"/>
  <c r="EV16" i="3"/>
  <c r="EU16" i="3"/>
  <c r="ET16" i="3"/>
  <c r="ES16" i="3"/>
  <c r="ER16" i="3"/>
  <c r="EQ16" i="3"/>
  <c r="EP16" i="3"/>
  <c r="EO16" i="3"/>
  <c r="EN16" i="3"/>
  <c r="EM16" i="3"/>
  <c r="EL16" i="3"/>
  <c r="EK16" i="3"/>
  <c r="EJ16" i="3"/>
  <c r="EI16" i="3"/>
  <c r="EH16" i="3"/>
  <c r="EG16" i="3"/>
  <c r="EF16" i="3"/>
  <c r="EE16" i="3"/>
  <c r="ED16" i="3"/>
  <c r="EC16" i="3"/>
  <c r="EB16" i="3"/>
  <c r="EA16" i="3"/>
  <c r="DZ16" i="3"/>
  <c r="DY16" i="3"/>
  <c r="DW16" i="3"/>
  <c r="DV16" i="3"/>
  <c r="DU16" i="3"/>
  <c r="DT16" i="3"/>
  <c r="DS16" i="3"/>
  <c r="DR16" i="3"/>
  <c r="DQ16" i="3"/>
  <c r="DP16" i="3"/>
  <c r="DO16" i="3"/>
  <c r="DN16" i="3"/>
  <c r="DM16" i="3"/>
  <c r="DL16" i="3"/>
  <c r="DH16" i="3"/>
  <c r="DG16" i="3"/>
  <c r="BP16" i="3"/>
  <c r="BO16" i="3"/>
  <c r="AC16" i="3"/>
  <c r="AH16" i="3" s="1"/>
  <c r="V16" i="3"/>
  <c r="U16" i="3"/>
  <c r="AA16" i="3" s="1"/>
  <c r="T16" i="3"/>
  <c r="O16" i="3"/>
  <c r="FN15" i="3"/>
  <c r="FM15" i="3"/>
  <c r="FL15" i="3"/>
  <c r="FK15" i="3"/>
  <c r="FJ15" i="3"/>
  <c r="FI15" i="3"/>
  <c r="FH15" i="3"/>
  <c r="FG15" i="3"/>
  <c r="FF15" i="3"/>
  <c r="FE15" i="3"/>
  <c r="FD15" i="3"/>
  <c r="FC15" i="3"/>
  <c r="FB15" i="3"/>
  <c r="FA15" i="3"/>
  <c r="EZ15" i="3"/>
  <c r="EY15" i="3"/>
  <c r="EX15" i="3"/>
  <c r="EW15" i="3"/>
  <c r="EV15" i="3"/>
  <c r="EU15" i="3"/>
  <c r="ET15" i="3"/>
  <c r="ES15" i="3"/>
  <c r="ER15" i="3"/>
  <c r="EQ15" i="3"/>
  <c r="EP15" i="3"/>
  <c r="EO15" i="3"/>
  <c r="EN15" i="3"/>
  <c r="EM15" i="3"/>
  <c r="EL15" i="3"/>
  <c r="EK15" i="3"/>
  <c r="EJ15" i="3"/>
  <c r="EI15" i="3"/>
  <c r="EH15" i="3"/>
  <c r="EG15" i="3"/>
  <c r="EF15" i="3"/>
  <c r="EE15" i="3"/>
  <c r="ED15" i="3"/>
  <c r="EC15" i="3"/>
  <c r="EB15" i="3"/>
  <c r="EA15" i="3"/>
  <c r="DZ15" i="3"/>
  <c r="DY15" i="3"/>
  <c r="DW15" i="3"/>
  <c r="DV15" i="3"/>
  <c r="DU15" i="3"/>
  <c r="DT15" i="3"/>
  <c r="DS15" i="3"/>
  <c r="DR15" i="3"/>
  <c r="DQ15" i="3"/>
  <c r="DP15" i="3"/>
  <c r="DO15" i="3"/>
  <c r="DN15" i="3"/>
  <c r="DM15" i="3"/>
  <c r="DL15" i="3"/>
  <c r="DH15" i="3"/>
  <c r="DG15" i="3"/>
  <c r="BP15" i="3"/>
  <c r="BO15" i="3"/>
  <c r="AC15" i="3"/>
  <c r="AH15" i="3" s="1"/>
  <c r="V15" i="3"/>
  <c r="AB15" i="3" s="1"/>
  <c r="U15" i="3"/>
  <c r="AA15" i="3" s="1"/>
  <c r="T15" i="3"/>
  <c r="O15" i="3"/>
  <c r="FN14" i="3"/>
  <c r="FM14" i="3"/>
  <c r="FL14" i="3"/>
  <c r="FK14" i="3"/>
  <c r="FJ14" i="3"/>
  <c r="FI14" i="3"/>
  <c r="FH14" i="3"/>
  <c r="FG14" i="3"/>
  <c r="FF14" i="3"/>
  <c r="FE14" i="3"/>
  <c r="FD14" i="3"/>
  <c r="FC14" i="3"/>
  <c r="FB14" i="3"/>
  <c r="FA14" i="3"/>
  <c r="EZ14" i="3"/>
  <c r="EY14" i="3"/>
  <c r="EX14" i="3"/>
  <c r="EW14" i="3"/>
  <c r="EV14" i="3"/>
  <c r="EU14" i="3"/>
  <c r="ET14" i="3"/>
  <c r="ES14" i="3"/>
  <c r="ER14" i="3"/>
  <c r="EQ14" i="3"/>
  <c r="EP14" i="3"/>
  <c r="EO14" i="3"/>
  <c r="EN14" i="3"/>
  <c r="EM14" i="3"/>
  <c r="EL14" i="3"/>
  <c r="EK14" i="3"/>
  <c r="EJ14" i="3"/>
  <c r="EI14" i="3"/>
  <c r="EH14" i="3"/>
  <c r="EG14" i="3"/>
  <c r="EF14" i="3"/>
  <c r="EE14" i="3"/>
  <c r="ED14" i="3"/>
  <c r="EC14" i="3"/>
  <c r="EB14" i="3"/>
  <c r="EA14" i="3"/>
  <c r="DZ14" i="3"/>
  <c r="DY14" i="3"/>
  <c r="DW14" i="3"/>
  <c r="DV14" i="3"/>
  <c r="DU14" i="3"/>
  <c r="DT14" i="3"/>
  <c r="DS14" i="3"/>
  <c r="DR14" i="3"/>
  <c r="DQ14" i="3"/>
  <c r="DP14" i="3"/>
  <c r="DO14" i="3"/>
  <c r="DN14" i="3"/>
  <c r="DM14" i="3"/>
  <c r="DL14" i="3"/>
  <c r="DH14" i="3"/>
  <c r="DG14" i="3"/>
  <c r="BP14" i="3"/>
  <c r="BO14" i="3"/>
  <c r="AC14" i="3"/>
  <c r="AH14" i="3" s="1"/>
  <c r="V14" i="3"/>
  <c r="AB14" i="3" s="1"/>
  <c r="U14" i="3"/>
  <c r="AA14" i="3" s="1"/>
  <c r="T14" i="3"/>
  <c r="O14" i="3"/>
  <c r="FN13" i="3"/>
  <c r="FM13" i="3"/>
  <c r="FL13" i="3"/>
  <c r="FK13" i="3"/>
  <c r="FJ13" i="3"/>
  <c r="FI13" i="3"/>
  <c r="FH13" i="3"/>
  <c r="FG13" i="3"/>
  <c r="DQ13" i="3" s="1"/>
  <c r="FF13" i="3"/>
  <c r="FE13" i="3"/>
  <c r="FD13" i="3"/>
  <c r="FC13" i="3"/>
  <c r="FB13" i="3"/>
  <c r="FA13" i="3"/>
  <c r="EZ13" i="3"/>
  <c r="EY13" i="3"/>
  <c r="EX13" i="3"/>
  <c r="EW13" i="3"/>
  <c r="EV13" i="3"/>
  <c r="EU13" i="3"/>
  <c r="ET13" i="3"/>
  <c r="ES13" i="3"/>
  <c r="ER13" i="3"/>
  <c r="EQ13" i="3"/>
  <c r="EP13" i="3"/>
  <c r="EO13" i="3"/>
  <c r="EN13" i="3"/>
  <c r="EM13" i="3"/>
  <c r="EL13" i="3"/>
  <c r="EK13" i="3"/>
  <c r="DU13" i="3" s="1"/>
  <c r="EJ13" i="3"/>
  <c r="EI13" i="3"/>
  <c r="DO13" i="3" s="1"/>
  <c r="EH13" i="3"/>
  <c r="EG13" i="3"/>
  <c r="EF13" i="3"/>
  <c r="EE13" i="3"/>
  <c r="ED13" i="3"/>
  <c r="EC13" i="3"/>
  <c r="EB13" i="3"/>
  <c r="EA13" i="3"/>
  <c r="DS13" i="3" s="1"/>
  <c r="DZ13" i="3"/>
  <c r="DY13" i="3"/>
  <c r="DW13" i="3"/>
  <c r="DV13" i="3"/>
  <c r="DT13" i="3"/>
  <c r="DR13" i="3"/>
  <c r="DP13" i="3"/>
  <c r="DN13" i="3"/>
  <c r="DM13" i="3"/>
  <c r="DL13" i="3"/>
  <c r="DH13" i="3"/>
  <c r="DG13" i="3"/>
  <c r="BP13" i="3"/>
  <c r="BO13" i="3"/>
  <c r="AC13" i="3"/>
  <c r="AH13" i="3" s="1"/>
  <c r="V13" i="3"/>
  <c r="AB13" i="3" s="1"/>
  <c r="U13" i="3"/>
  <c r="AA13" i="3" s="1"/>
  <c r="T13" i="3"/>
  <c r="O13" i="3"/>
  <c r="FN12" i="3"/>
  <c r="FM12" i="3"/>
  <c r="FL12" i="3"/>
  <c r="FK12" i="3"/>
  <c r="FJ12" i="3"/>
  <c r="FI12" i="3"/>
  <c r="FH12" i="3"/>
  <c r="FG12" i="3"/>
  <c r="FF12" i="3"/>
  <c r="FE12" i="3"/>
  <c r="FD12" i="3"/>
  <c r="FC12" i="3"/>
  <c r="FB12" i="3"/>
  <c r="FA12" i="3"/>
  <c r="EZ12" i="3"/>
  <c r="EY12" i="3"/>
  <c r="EX12" i="3"/>
  <c r="EW12" i="3"/>
  <c r="EV12" i="3"/>
  <c r="EU12" i="3"/>
  <c r="ET12" i="3"/>
  <c r="ES12" i="3"/>
  <c r="ER12" i="3"/>
  <c r="EQ12" i="3"/>
  <c r="EP12" i="3"/>
  <c r="EO12" i="3"/>
  <c r="EN12" i="3"/>
  <c r="EM12" i="3"/>
  <c r="EL12" i="3"/>
  <c r="EK12" i="3"/>
  <c r="EJ12" i="3"/>
  <c r="EI12" i="3"/>
  <c r="EH12" i="3"/>
  <c r="EG12" i="3"/>
  <c r="EF12" i="3"/>
  <c r="EE12" i="3"/>
  <c r="ED12" i="3"/>
  <c r="EC12" i="3"/>
  <c r="EB12" i="3"/>
  <c r="EA12" i="3"/>
  <c r="DZ12" i="3"/>
  <c r="DY12" i="3"/>
  <c r="DW12" i="3"/>
  <c r="DV12" i="3"/>
  <c r="DU12" i="3"/>
  <c r="DT12" i="3"/>
  <c r="DS12" i="3"/>
  <c r="DR12" i="3"/>
  <c r="DQ12" i="3"/>
  <c r="DP12" i="3"/>
  <c r="DO12" i="3"/>
  <c r="DN12" i="3"/>
  <c r="DM12" i="3"/>
  <c r="DL12" i="3"/>
  <c r="DH12" i="3"/>
  <c r="DG12" i="3"/>
  <c r="BP12" i="3"/>
  <c r="BO12" i="3"/>
  <c r="AC12" i="3"/>
  <c r="AH12" i="3" s="1"/>
  <c r="V12" i="3"/>
  <c r="AB12" i="3" s="1"/>
  <c r="U12" i="3"/>
  <c r="AA12" i="3" s="1"/>
  <c r="T12" i="3"/>
  <c r="O12" i="3"/>
  <c r="FN11" i="3"/>
  <c r="FM11" i="3"/>
  <c r="FL11" i="3"/>
  <c r="FK11" i="3"/>
  <c r="FJ11" i="3"/>
  <c r="FI11" i="3"/>
  <c r="FH11" i="3"/>
  <c r="FG11" i="3"/>
  <c r="FF11" i="3"/>
  <c r="FE11" i="3"/>
  <c r="FD11" i="3"/>
  <c r="FC11" i="3"/>
  <c r="FB11" i="3"/>
  <c r="FA11" i="3"/>
  <c r="EZ11" i="3"/>
  <c r="EY11" i="3"/>
  <c r="EX11" i="3"/>
  <c r="EW11" i="3"/>
  <c r="EV11" i="3"/>
  <c r="EU11" i="3"/>
  <c r="ET11" i="3"/>
  <c r="ES11" i="3"/>
  <c r="ER11" i="3"/>
  <c r="EQ11" i="3"/>
  <c r="EP11" i="3"/>
  <c r="EO11" i="3"/>
  <c r="EN11" i="3"/>
  <c r="EM11" i="3"/>
  <c r="EL11" i="3"/>
  <c r="EK11" i="3"/>
  <c r="EJ11" i="3"/>
  <c r="EI11" i="3"/>
  <c r="EH11" i="3"/>
  <c r="EG11" i="3"/>
  <c r="EF11" i="3"/>
  <c r="EE11" i="3"/>
  <c r="ED11" i="3"/>
  <c r="EC11" i="3"/>
  <c r="EB11" i="3"/>
  <c r="EA11" i="3"/>
  <c r="DZ11" i="3"/>
  <c r="DY11" i="3"/>
  <c r="DW11" i="3"/>
  <c r="DV11" i="3"/>
  <c r="DU11" i="3"/>
  <c r="DT11" i="3"/>
  <c r="DS11" i="3"/>
  <c r="DR11" i="3"/>
  <c r="DQ11" i="3"/>
  <c r="DP11" i="3"/>
  <c r="DO11" i="3"/>
  <c r="DN11" i="3"/>
  <c r="DM11" i="3"/>
  <c r="DL11" i="3"/>
  <c r="DH11" i="3"/>
  <c r="DG11" i="3"/>
  <c r="BP11" i="3"/>
  <c r="BO11" i="3"/>
  <c r="AC11" i="3"/>
  <c r="AH11" i="3" s="1"/>
  <c r="V11" i="3"/>
  <c r="AB11" i="3" s="1"/>
  <c r="U11" i="3"/>
  <c r="AA11" i="3" s="1"/>
  <c r="T11" i="3"/>
  <c r="O11" i="3"/>
  <c r="FN10" i="3"/>
  <c r="FM10" i="3"/>
  <c r="FL10" i="3"/>
  <c r="FK10" i="3"/>
  <c r="FJ10" i="3"/>
  <c r="FI10" i="3"/>
  <c r="FH10" i="3"/>
  <c r="FG10" i="3"/>
  <c r="FF10" i="3"/>
  <c r="FE10" i="3"/>
  <c r="FD10" i="3"/>
  <c r="FC10" i="3"/>
  <c r="FB10" i="3"/>
  <c r="FA10" i="3"/>
  <c r="EZ10" i="3"/>
  <c r="EY10" i="3"/>
  <c r="EX10" i="3"/>
  <c r="EW10" i="3"/>
  <c r="EV10" i="3"/>
  <c r="EU10" i="3"/>
  <c r="ET10" i="3"/>
  <c r="ES10" i="3"/>
  <c r="ER10" i="3"/>
  <c r="EQ10" i="3"/>
  <c r="EP10" i="3"/>
  <c r="EO10" i="3"/>
  <c r="EN10" i="3"/>
  <c r="EM10" i="3"/>
  <c r="EL10" i="3"/>
  <c r="EK10" i="3"/>
  <c r="EJ10" i="3"/>
  <c r="EI10" i="3"/>
  <c r="EH10" i="3"/>
  <c r="EG10" i="3"/>
  <c r="EF10" i="3"/>
  <c r="EE10" i="3"/>
  <c r="ED10" i="3"/>
  <c r="EC10" i="3"/>
  <c r="EB10" i="3"/>
  <c r="EA10" i="3"/>
  <c r="DZ10" i="3"/>
  <c r="DY10" i="3"/>
  <c r="DW10" i="3"/>
  <c r="DV10" i="3"/>
  <c r="DU10" i="3"/>
  <c r="DT10" i="3"/>
  <c r="DS10" i="3"/>
  <c r="DR10" i="3"/>
  <c r="DQ10" i="3"/>
  <c r="DP10" i="3"/>
  <c r="DO10" i="3"/>
  <c r="DN10" i="3"/>
  <c r="DM10" i="3"/>
  <c r="DL10" i="3"/>
  <c r="DH10" i="3"/>
  <c r="DG10" i="3"/>
  <c r="BP10" i="3"/>
  <c r="BO10" i="3"/>
  <c r="AC10" i="3"/>
  <c r="AH10" i="3" s="1"/>
  <c r="V10" i="3"/>
  <c r="AB10" i="3" s="1"/>
  <c r="U10" i="3"/>
  <c r="AA10" i="3" s="1"/>
  <c r="T10" i="3"/>
  <c r="O10" i="3"/>
  <c r="FN9" i="3"/>
  <c r="FM9" i="3"/>
  <c r="FL9" i="3"/>
  <c r="FK9" i="3"/>
  <c r="FJ9" i="3"/>
  <c r="FI9" i="3"/>
  <c r="FH9" i="3"/>
  <c r="FG9" i="3"/>
  <c r="FF9" i="3"/>
  <c r="FE9" i="3"/>
  <c r="FD9" i="3"/>
  <c r="FC9" i="3"/>
  <c r="FB9" i="3"/>
  <c r="FA9" i="3"/>
  <c r="EZ9" i="3"/>
  <c r="EY9" i="3"/>
  <c r="EX9" i="3"/>
  <c r="EW9" i="3"/>
  <c r="EV9" i="3"/>
  <c r="EU9" i="3"/>
  <c r="ET9" i="3"/>
  <c r="ES9" i="3"/>
  <c r="ER9" i="3"/>
  <c r="EQ9" i="3"/>
  <c r="EP9" i="3"/>
  <c r="EO9" i="3"/>
  <c r="EN9" i="3"/>
  <c r="EM9" i="3"/>
  <c r="EL9" i="3"/>
  <c r="EK9" i="3"/>
  <c r="EJ9" i="3"/>
  <c r="EI9" i="3"/>
  <c r="EH9" i="3"/>
  <c r="EG9" i="3"/>
  <c r="EF9" i="3"/>
  <c r="EE9" i="3"/>
  <c r="ED9" i="3"/>
  <c r="EC9" i="3"/>
  <c r="EB9" i="3"/>
  <c r="EA9" i="3"/>
  <c r="DZ9" i="3"/>
  <c r="DY9" i="3"/>
  <c r="DW9" i="3"/>
  <c r="DV9" i="3"/>
  <c r="DU9" i="3"/>
  <c r="DT9" i="3"/>
  <c r="DS9" i="3"/>
  <c r="DR9" i="3"/>
  <c r="DQ9" i="3"/>
  <c r="DP9" i="3"/>
  <c r="DO9" i="3"/>
  <c r="DN9" i="3"/>
  <c r="DM9" i="3"/>
  <c r="DL9" i="3"/>
  <c r="DH9" i="3"/>
  <c r="DG9" i="3"/>
  <c r="BP9" i="3"/>
  <c r="BO9" i="3"/>
  <c r="AC9" i="3"/>
  <c r="AH9" i="3" s="1"/>
  <c r="V9" i="3"/>
  <c r="AB9" i="3" s="1"/>
  <c r="U9" i="3"/>
  <c r="AA9" i="3" s="1"/>
  <c r="T9" i="3"/>
  <c r="O9" i="3"/>
  <c r="FN8" i="3"/>
  <c r="FM8" i="3"/>
  <c r="FL8" i="3"/>
  <c r="FK8" i="3"/>
  <c r="FJ8" i="3"/>
  <c r="FI8" i="3"/>
  <c r="FH8" i="3"/>
  <c r="FG8" i="3"/>
  <c r="FF8" i="3"/>
  <c r="FE8" i="3"/>
  <c r="FD8" i="3"/>
  <c r="FC8" i="3"/>
  <c r="FB8" i="3"/>
  <c r="FA8" i="3"/>
  <c r="EZ8" i="3"/>
  <c r="EY8" i="3"/>
  <c r="EX8" i="3"/>
  <c r="EW8" i="3"/>
  <c r="EV8" i="3"/>
  <c r="EU8" i="3"/>
  <c r="ET8" i="3"/>
  <c r="ES8" i="3"/>
  <c r="ER8" i="3"/>
  <c r="EQ8" i="3"/>
  <c r="EP8" i="3"/>
  <c r="EO8" i="3"/>
  <c r="EN8" i="3"/>
  <c r="EM8" i="3"/>
  <c r="EL8" i="3"/>
  <c r="EK8" i="3"/>
  <c r="EJ8" i="3"/>
  <c r="EI8" i="3"/>
  <c r="EH8" i="3"/>
  <c r="EG8" i="3"/>
  <c r="EF8" i="3"/>
  <c r="EE8" i="3"/>
  <c r="ED8" i="3"/>
  <c r="EC8" i="3"/>
  <c r="EB8" i="3"/>
  <c r="EA8" i="3"/>
  <c r="DZ8" i="3"/>
  <c r="DY8" i="3"/>
  <c r="DW8" i="3"/>
  <c r="DV8" i="3"/>
  <c r="DU8" i="3"/>
  <c r="DT8" i="3"/>
  <c r="DS8" i="3"/>
  <c r="DR8" i="3"/>
  <c r="DQ8" i="3"/>
  <c r="DP8" i="3"/>
  <c r="DO8" i="3"/>
  <c r="DN8" i="3"/>
  <c r="DM8" i="3"/>
  <c r="DL8" i="3"/>
  <c r="DH8" i="3"/>
  <c r="DG8" i="3"/>
  <c r="BP8" i="3"/>
  <c r="BO8" i="3"/>
  <c r="AC8" i="3"/>
  <c r="AH8" i="3" s="1"/>
  <c r="V8" i="3"/>
  <c r="U8" i="3"/>
  <c r="T8" i="3"/>
  <c r="O8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W7" i="3"/>
  <c r="DV7" i="3"/>
  <c r="DU7" i="3"/>
  <c r="DT7" i="3"/>
  <c r="DS7" i="3"/>
  <c r="DR7" i="3"/>
  <c r="DQ7" i="3"/>
  <c r="DP7" i="3"/>
  <c r="DO7" i="3"/>
  <c r="DN7" i="3"/>
  <c r="DM7" i="3"/>
  <c r="DL7" i="3"/>
  <c r="DH7" i="3"/>
  <c r="DG7" i="3"/>
  <c r="BP7" i="3"/>
  <c r="BO7" i="3"/>
  <c r="AC7" i="3"/>
  <c r="AH7" i="3" s="1"/>
  <c r="V7" i="3"/>
  <c r="AB7" i="3" s="1"/>
  <c r="U7" i="3"/>
  <c r="AA7" i="3" s="1"/>
  <c r="T7" i="3"/>
  <c r="O7" i="3"/>
  <c r="FN40" i="3"/>
  <c r="FM40" i="3"/>
  <c r="FL40" i="3"/>
  <c r="FK40" i="3"/>
  <c r="FJ40" i="3"/>
  <c r="FI40" i="3"/>
  <c r="FH40" i="3"/>
  <c r="FG40" i="3"/>
  <c r="FF40" i="3"/>
  <c r="FE40" i="3"/>
  <c r="FD40" i="3"/>
  <c r="FC40" i="3"/>
  <c r="FB40" i="3"/>
  <c r="FA40" i="3"/>
  <c r="EZ40" i="3"/>
  <c r="EY40" i="3"/>
  <c r="EX40" i="3"/>
  <c r="EW40" i="3"/>
  <c r="EV40" i="3"/>
  <c r="EU40" i="3"/>
  <c r="ET40" i="3"/>
  <c r="ES40" i="3"/>
  <c r="ER40" i="3"/>
  <c r="EQ40" i="3"/>
  <c r="EP40" i="3"/>
  <c r="EO40" i="3"/>
  <c r="EN40" i="3"/>
  <c r="EM40" i="3"/>
  <c r="EL40" i="3"/>
  <c r="EK40" i="3"/>
  <c r="EJ40" i="3"/>
  <c r="EI40" i="3"/>
  <c r="EH40" i="3"/>
  <c r="EG40" i="3"/>
  <c r="EF40" i="3"/>
  <c r="EE40" i="3"/>
  <c r="ED40" i="3"/>
  <c r="EC40" i="3"/>
  <c r="EB40" i="3"/>
  <c r="EA40" i="3"/>
  <c r="DZ40" i="3"/>
  <c r="DY40" i="3"/>
  <c r="DW40" i="3"/>
  <c r="DV40" i="3"/>
  <c r="DU40" i="3"/>
  <c r="DT40" i="3"/>
  <c r="DS40" i="3"/>
  <c r="DR40" i="3"/>
  <c r="DQ40" i="3"/>
  <c r="DP40" i="3"/>
  <c r="DO40" i="3"/>
  <c r="DN40" i="3"/>
  <c r="DM40" i="3"/>
  <c r="DL40" i="3"/>
  <c r="DH40" i="3"/>
  <c r="DG40" i="3"/>
  <c r="BP40" i="3"/>
  <c r="BO40" i="3"/>
  <c r="AC40" i="3"/>
  <c r="AH40" i="3" s="1"/>
  <c r="V40" i="3"/>
  <c r="AB40" i="3" s="1"/>
  <c r="U40" i="3"/>
  <c r="T40" i="3"/>
  <c r="O40" i="3"/>
  <c r="FN39" i="3"/>
  <c r="FM39" i="3"/>
  <c r="FL39" i="3"/>
  <c r="FK39" i="3"/>
  <c r="FJ39" i="3"/>
  <c r="FI39" i="3"/>
  <c r="FH39" i="3"/>
  <c r="FG39" i="3"/>
  <c r="FF39" i="3"/>
  <c r="FE39" i="3"/>
  <c r="FD39" i="3"/>
  <c r="FC39" i="3"/>
  <c r="FB39" i="3"/>
  <c r="FA39" i="3"/>
  <c r="EZ39" i="3"/>
  <c r="EY39" i="3"/>
  <c r="EX39" i="3"/>
  <c r="EW39" i="3"/>
  <c r="EV39" i="3"/>
  <c r="EU39" i="3"/>
  <c r="ET39" i="3"/>
  <c r="ES39" i="3"/>
  <c r="ER39" i="3"/>
  <c r="EQ39" i="3"/>
  <c r="EP39" i="3"/>
  <c r="EO39" i="3"/>
  <c r="EN39" i="3"/>
  <c r="EM39" i="3"/>
  <c r="EL39" i="3"/>
  <c r="EK39" i="3"/>
  <c r="EJ39" i="3"/>
  <c r="EI39" i="3"/>
  <c r="EH39" i="3"/>
  <c r="EG39" i="3"/>
  <c r="EF39" i="3"/>
  <c r="EE39" i="3"/>
  <c r="ED39" i="3"/>
  <c r="EC39" i="3"/>
  <c r="EB39" i="3"/>
  <c r="EA39" i="3"/>
  <c r="DZ39" i="3"/>
  <c r="DY39" i="3"/>
  <c r="DW39" i="3"/>
  <c r="DV39" i="3"/>
  <c r="DU39" i="3"/>
  <c r="DT39" i="3"/>
  <c r="DS39" i="3"/>
  <c r="DR39" i="3"/>
  <c r="DQ39" i="3"/>
  <c r="DP39" i="3"/>
  <c r="DO39" i="3"/>
  <c r="DN39" i="3"/>
  <c r="DM39" i="3"/>
  <c r="DL39" i="3"/>
  <c r="DH39" i="3"/>
  <c r="DG39" i="3"/>
  <c r="BP39" i="3"/>
  <c r="BO39" i="3"/>
  <c r="AC39" i="3"/>
  <c r="AH39" i="3" s="1"/>
  <c r="V39" i="3"/>
  <c r="AB39" i="3" s="1"/>
  <c r="U39" i="3"/>
  <c r="T39" i="3"/>
  <c r="O39" i="3"/>
  <c r="FN38" i="3"/>
  <c r="FM38" i="3"/>
  <c r="FL38" i="3"/>
  <c r="FK38" i="3"/>
  <c r="FJ38" i="3"/>
  <c r="FI38" i="3"/>
  <c r="FH38" i="3"/>
  <c r="FG38" i="3"/>
  <c r="FF38" i="3"/>
  <c r="FE38" i="3"/>
  <c r="FD38" i="3"/>
  <c r="FC38" i="3"/>
  <c r="FB38" i="3"/>
  <c r="FA38" i="3"/>
  <c r="EZ38" i="3"/>
  <c r="EY38" i="3"/>
  <c r="EX38" i="3"/>
  <c r="EW38" i="3"/>
  <c r="EV38" i="3"/>
  <c r="EU38" i="3"/>
  <c r="ET38" i="3"/>
  <c r="ES38" i="3"/>
  <c r="ER38" i="3"/>
  <c r="EQ38" i="3"/>
  <c r="EP38" i="3"/>
  <c r="EO38" i="3"/>
  <c r="EN38" i="3"/>
  <c r="EM38" i="3"/>
  <c r="EL38" i="3"/>
  <c r="EK38" i="3"/>
  <c r="EJ38" i="3"/>
  <c r="EI38" i="3"/>
  <c r="EH38" i="3"/>
  <c r="EG38" i="3"/>
  <c r="EF38" i="3"/>
  <c r="EE38" i="3"/>
  <c r="ED38" i="3"/>
  <c r="EC38" i="3"/>
  <c r="EB38" i="3"/>
  <c r="EA38" i="3"/>
  <c r="DZ38" i="3"/>
  <c r="DY38" i="3"/>
  <c r="DW38" i="3"/>
  <c r="DV38" i="3"/>
  <c r="DU38" i="3"/>
  <c r="DT38" i="3"/>
  <c r="DS38" i="3"/>
  <c r="DR38" i="3"/>
  <c r="DQ38" i="3"/>
  <c r="DP38" i="3"/>
  <c r="DO38" i="3"/>
  <c r="DN38" i="3"/>
  <c r="DM38" i="3"/>
  <c r="DL38" i="3"/>
  <c r="DH38" i="3"/>
  <c r="DG38" i="3"/>
  <c r="BP38" i="3"/>
  <c r="BO38" i="3"/>
  <c r="AC38" i="3"/>
  <c r="AH38" i="3" s="1"/>
  <c r="V38" i="3"/>
  <c r="AB38" i="3" s="1"/>
  <c r="U38" i="3"/>
  <c r="T38" i="3"/>
  <c r="O38" i="3"/>
  <c r="FN37" i="3"/>
  <c r="FM37" i="3"/>
  <c r="FL37" i="3"/>
  <c r="FK37" i="3"/>
  <c r="FJ37" i="3"/>
  <c r="FI37" i="3"/>
  <c r="FH37" i="3"/>
  <c r="FG37" i="3"/>
  <c r="FF37" i="3"/>
  <c r="FE37" i="3"/>
  <c r="FD37" i="3"/>
  <c r="FC37" i="3"/>
  <c r="FB37" i="3"/>
  <c r="FA37" i="3"/>
  <c r="EZ37" i="3"/>
  <c r="EY37" i="3"/>
  <c r="EX37" i="3"/>
  <c r="EW37" i="3"/>
  <c r="EV37" i="3"/>
  <c r="EU37" i="3"/>
  <c r="ET37" i="3"/>
  <c r="ES37" i="3"/>
  <c r="ER37" i="3"/>
  <c r="EQ37" i="3"/>
  <c r="EP37" i="3"/>
  <c r="EO37" i="3"/>
  <c r="EN37" i="3"/>
  <c r="EM37" i="3"/>
  <c r="EL37" i="3"/>
  <c r="EK37" i="3"/>
  <c r="EJ37" i="3"/>
  <c r="EI37" i="3"/>
  <c r="EH37" i="3"/>
  <c r="EG37" i="3"/>
  <c r="EF37" i="3"/>
  <c r="EE37" i="3"/>
  <c r="ED37" i="3"/>
  <c r="EC37" i="3"/>
  <c r="EB37" i="3"/>
  <c r="EA37" i="3"/>
  <c r="DZ37" i="3"/>
  <c r="DY37" i="3"/>
  <c r="DW37" i="3"/>
  <c r="DV37" i="3"/>
  <c r="DU37" i="3"/>
  <c r="DT37" i="3"/>
  <c r="DS37" i="3"/>
  <c r="DR37" i="3"/>
  <c r="DQ37" i="3"/>
  <c r="DP37" i="3"/>
  <c r="DO37" i="3"/>
  <c r="DN37" i="3"/>
  <c r="DM37" i="3"/>
  <c r="DL37" i="3"/>
  <c r="DH37" i="3"/>
  <c r="DG37" i="3"/>
  <c r="BP37" i="3"/>
  <c r="BO37" i="3"/>
  <c r="AC37" i="3"/>
  <c r="AH37" i="3" s="1"/>
  <c r="V37" i="3"/>
  <c r="AB37" i="3" s="1"/>
  <c r="U37" i="3"/>
  <c r="T37" i="3"/>
  <c r="O37" i="3"/>
  <c r="FN36" i="3"/>
  <c r="FM36" i="3"/>
  <c r="FL36" i="3"/>
  <c r="FK36" i="3"/>
  <c r="FJ36" i="3"/>
  <c r="FI36" i="3"/>
  <c r="FH36" i="3"/>
  <c r="FG36" i="3"/>
  <c r="FF36" i="3"/>
  <c r="FE36" i="3"/>
  <c r="FD36" i="3"/>
  <c r="FC36" i="3"/>
  <c r="FB36" i="3"/>
  <c r="FA36" i="3"/>
  <c r="EZ36" i="3"/>
  <c r="EY36" i="3"/>
  <c r="EX36" i="3"/>
  <c r="EW36" i="3"/>
  <c r="EV36" i="3"/>
  <c r="EU36" i="3"/>
  <c r="ET36" i="3"/>
  <c r="ES36" i="3"/>
  <c r="ER36" i="3"/>
  <c r="EQ36" i="3"/>
  <c r="EP36" i="3"/>
  <c r="EO36" i="3"/>
  <c r="EN36" i="3"/>
  <c r="EM36" i="3"/>
  <c r="EL36" i="3"/>
  <c r="EK36" i="3"/>
  <c r="EJ36" i="3"/>
  <c r="EI36" i="3"/>
  <c r="EH36" i="3"/>
  <c r="EG36" i="3"/>
  <c r="EF36" i="3"/>
  <c r="EE36" i="3"/>
  <c r="ED36" i="3"/>
  <c r="EC36" i="3"/>
  <c r="EB36" i="3"/>
  <c r="EA36" i="3"/>
  <c r="DZ36" i="3"/>
  <c r="DY36" i="3"/>
  <c r="DW36" i="3"/>
  <c r="DV36" i="3"/>
  <c r="DU36" i="3"/>
  <c r="DT36" i="3"/>
  <c r="DS36" i="3"/>
  <c r="DR36" i="3"/>
  <c r="DQ36" i="3"/>
  <c r="DP36" i="3"/>
  <c r="DO36" i="3"/>
  <c r="DN36" i="3"/>
  <c r="DM36" i="3"/>
  <c r="DL36" i="3"/>
  <c r="DH36" i="3"/>
  <c r="DG36" i="3"/>
  <c r="BP36" i="3"/>
  <c r="BO36" i="3"/>
  <c r="AC36" i="3"/>
  <c r="AH36" i="3" s="1"/>
  <c r="V36" i="3"/>
  <c r="AB36" i="3" s="1"/>
  <c r="U36" i="3"/>
  <c r="T36" i="3"/>
  <c r="O36" i="3"/>
  <c r="FN35" i="3"/>
  <c r="FM35" i="3"/>
  <c r="FL35" i="3"/>
  <c r="FK35" i="3"/>
  <c r="FJ35" i="3"/>
  <c r="FI35" i="3"/>
  <c r="FH35" i="3"/>
  <c r="FG35" i="3"/>
  <c r="FF35" i="3"/>
  <c r="FE35" i="3"/>
  <c r="FD35" i="3"/>
  <c r="FC35" i="3"/>
  <c r="FB35" i="3"/>
  <c r="FA35" i="3"/>
  <c r="EZ35" i="3"/>
  <c r="EY35" i="3"/>
  <c r="EX35" i="3"/>
  <c r="EW35" i="3"/>
  <c r="EV35" i="3"/>
  <c r="EU35" i="3"/>
  <c r="ET35" i="3"/>
  <c r="ES35" i="3"/>
  <c r="ER35" i="3"/>
  <c r="EQ35" i="3"/>
  <c r="EP35" i="3"/>
  <c r="EO35" i="3"/>
  <c r="EN35" i="3"/>
  <c r="EM35" i="3"/>
  <c r="EL35" i="3"/>
  <c r="EK35" i="3"/>
  <c r="EJ35" i="3"/>
  <c r="EI35" i="3"/>
  <c r="EH35" i="3"/>
  <c r="EG35" i="3"/>
  <c r="EF35" i="3"/>
  <c r="EE35" i="3"/>
  <c r="ED35" i="3"/>
  <c r="EC35" i="3"/>
  <c r="EB35" i="3"/>
  <c r="EA35" i="3"/>
  <c r="DZ35" i="3"/>
  <c r="DY35" i="3"/>
  <c r="DW35" i="3"/>
  <c r="DV35" i="3"/>
  <c r="DU35" i="3"/>
  <c r="DT35" i="3"/>
  <c r="DS35" i="3"/>
  <c r="DR35" i="3"/>
  <c r="DQ35" i="3"/>
  <c r="DP35" i="3"/>
  <c r="DO35" i="3"/>
  <c r="DN35" i="3"/>
  <c r="DM35" i="3"/>
  <c r="DL35" i="3"/>
  <c r="DH35" i="3"/>
  <c r="DG35" i="3"/>
  <c r="BP35" i="3"/>
  <c r="BO35" i="3"/>
  <c r="AC35" i="3"/>
  <c r="AH35" i="3" s="1"/>
  <c r="V35" i="3"/>
  <c r="AB35" i="3" s="1"/>
  <c r="U35" i="3"/>
  <c r="T35" i="3"/>
  <c r="O35" i="3"/>
  <c r="FN34" i="3"/>
  <c r="FM34" i="3"/>
  <c r="FL34" i="3"/>
  <c r="FK34" i="3"/>
  <c r="FJ34" i="3"/>
  <c r="FI34" i="3"/>
  <c r="FH34" i="3"/>
  <c r="FG34" i="3"/>
  <c r="FF34" i="3"/>
  <c r="FE34" i="3"/>
  <c r="FD34" i="3"/>
  <c r="FC34" i="3"/>
  <c r="FB34" i="3"/>
  <c r="FA34" i="3"/>
  <c r="EZ34" i="3"/>
  <c r="EY34" i="3"/>
  <c r="EX34" i="3"/>
  <c r="EW34" i="3"/>
  <c r="EV34" i="3"/>
  <c r="EU34" i="3"/>
  <c r="ET34" i="3"/>
  <c r="ES34" i="3"/>
  <c r="ER34" i="3"/>
  <c r="EQ34" i="3"/>
  <c r="EP34" i="3"/>
  <c r="EO34" i="3"/>
  <c r="EN34" i="3"/>
  <c r="EM34" i="3"/>
  <c r="EL34" i="3"/>
  <c r="EK34" i="3"/>
  <c r="EJ34" i="3"/>
  <c r="EI34" i="3"/>
  <c r="EH34" i="3"/>
  <c r="EG34" i="3"/>
  <c r="EF34" i="3"/>
  <c r="EE34" i="3"/>
  <c r="ED34" i="3"/>
  <c r="EC34" i="3"/>
  <c r="EB34" i="3"/>
  <c r="EA34" i="3"/>
  <c r="DZ34" i="3"/>
  <c r="DY34" i="3"/>
  <c r="DW34" i="3"/>
  <c r="DV34" i="3"/>
  <c r="DU34" i="3"/>
  <c r="DT34" i="3"/>
  <c r="DS34" i="3"/>
  <c r="DR34" i="3"/>
  <c r="DQ34" i="3"/>
  <c r="DP34" i="3"/>
  <c r="DO34" i="3"/>
  <c r="DN34" i="3"/>
  <c r="DM34" i="3"/>
  <c r="DL34" i="3"/>
  <c r="DH34" i="3"/>
  <c r="DG34" i="3"/>
  <c r="BP34" i="3"/>
  <c r="BO34" i="3"/>
  <c r="AC34" i="3"/>
  <c r="AH34" i="3" s="1"/>
  <c r="V34" i="3"/>
  <c r="AB34" i="3" s="1"/>
  <c r="U34" i="3"/>
  <c r="T34" i="3"/>
  <c r="O34" i="3"/>
  <c r="FN33" i="3"/>
  <c r="FM33" i="3"/>
  <c r="FL33" i="3"/>
  <c r="FK33" i="3"/>
  <c r="FJ33" i="3"/>
  <c r="FI33" i="3"/>
  <c r="FH33" i="3"/>
  <c r="FG33" i="3"/>
  <c r="FF33" i="3"/>
  <c r="FE33" i="3"/>
  <c r="FD33" i="3"/>
  <c r="FC33" i="3"/>
  <c r="FB33" i="3"/>
  <c r="FA33" i="3"/>
  <c r="EZ33" i="3"/>
  <c r="EY33" i="3"/>
  <c r="EX33" i="3"/>
  <c r="EW33" i="3"/>
  <c r="EV33" i="3"/>
  <c r="EU33" i="3"/>
  <c r="ET33" i="3"/>
  <c r="ES33" i="3"/>
  <c r="ER33" i="3"/>
  <c r="EQ33" i="3"/>
  <c r="EP33" i="3"/>
  <c r="EO33" i="3"/>
  <c r="EN33" i="3"/>
  <c r="EM33" i="3"/>
  <c r="EL33" i="3"/>
  <c r="EK33" i="3"/>
  <c r="EJ33" i="3"/>
  <c r="EI33" i="3"/>
  <c r="EH33" i="3"/>
  <c r="EG33" i="3"/>
  <c r="EF33" i="3"/>
  <c r="EE33" i="3"/>
  <c r="ED33" i="3"/>
  <c r="EC33" i="3"/>
  <c r="EB33" i="3"/>
  <c r="EA33" i="3"/>
  <c r="DZ33" i="3"/>
  <c r="DY33" i="3"/>
  <c r="DW33" i="3"/>
  <c r="DV33" i="3"/>
  <c r="DU33" i="3"/>
  <c r="DT33" i="3"/>
  <c r="DS33" i="3"/>
  <c r="DR33" i="3"/>
  <c r="DQ33" i="3"/>
  <c r="DP33" i="3"/>
  <c r="DO33" i="3"/>
  <c r="DN33" i="3"/>
  <c r="DM33" i="3"/>
  <c r="DL33" i="3"/>
  <c r="DH33" i="3"/>
  <c r="DG33" i="3"/>
  <c r="BP33" i="3"/>
  <c r="BO33" i="3"/>
  <c r="AC33" i="3"/>
  <c r="AH33" i="3" s="1"/>
  <c r="V33" i="3"/>
  <c r="AB33" i="3" s="1"/>
  <c r="U33" i="3"/>
  <c r="T33" i="3"/>
  <c r="O33" i="3"/>
  <c r="FN32" i="3"/>
  <c r="FM32" i="3"/>
  <c r="FL32" i="3"/>
  <c r="FK32" i="3"/>
  <c r="FJ32" i="3"/>
  <c r="FI32" i="3"/>
  <c r="FH32" i="3"/>
  <c r="FG32" i="3"/>
  <c r="FF32" i="3"/>
  <c r="FE32" i="3"/>
  <c r="FD32" i="3"/>
  <c r="FC32" i="3"/>
  <c r="FB32" i="3"/>
  <c r="FA32" i="3"/>
  <c r="EZ32" i="3"/>
  <c r="EY32" i="3"/>
  <c r="EX32" i="3"/>
  <c r="EW32" i="3"/>
  <c r="EV32" i="3"/>
  <c r="EU32" i="3"/>
  <c r="ET32" i="3"/>
  <c r="ES32" i="3"/>
  <c r="ER32" i="3"/>
  <c r="EQ32" i="3"/>
  <c r="EP32" i="3"/>
  <c r="EO32" i="3"/>
  <c r="EN32" i="3"/>
  <c r="EM32" i="3"/>
  <c r="EL32" i="3"/>
  <c r="EK32" i="3"/>
  <c r="EJ32" i="3"/>
  <c r="EI32" i="3"/>
  <c r="EH32" i="3"/>
  <c r="EG32" i="3"/>
  <c r="EF32" i="3"/>
  <c r="EE32" i="3"/>
  <c r="ED32" i="3"/>
  <c r="EC32" i="3"/>
  <c r="EB32" i="3"/>
  <c r="EA32" i="3"/>
  <c r="DZ32" i="3"/>
  <c r="DY32" i="3"/>
  <c r="DW32" i="3"/>
  <c r="DV32" i="3"/>
  <c r="DU32" i="3"/>
  <c r="DT32" i="3"/>
  <c r="DS32" i="3"/>
  <c r="DR32" i="3"/>
  <c r="DQ32" i="3"/>
  <c r="DP32" i="3"/>
  <c r="DO32" i="3"/>
  <c r="DN32" i="3"/>
  <c r="DM32" i="3"/>
  <c r="DL32" i="3"/>
  <c r="DH32" i="3"/>
  <c r="DG32" i="3"/>
  <c r="BP32" i="3"/>
  <c r="BO32" i="3"/>
  <c r="AC32" i="3"/>
  <c r="AH32" i="3" s="1"/>
  <c r="V32" i="3"/>
  <c r="AB32" i="3" s="1"/>
  <c r="U32" i="3"/>
  <c r="T32" i="3"/>
  <c r="O32" i="3"/>
  <c r="FN31" i="3"/>
  <c r="FM31" i="3"/>
  <c r="FL31" i="3"/>
  <c r="FK31" i="3"/>
  <c r="FJ31" i="3"/>
  <c r="FI31" i="3"/>
  <c r="FH31" i="3"/>
  <c r="FG31" i="3"/>
  <c r="FF31" i="3"/>
  <c r="FE31" i="3"/>
  <c r="FD31" i="3"/>
  <c r="FC31" i="3"/>
  <c r="FB31" i="3"/>
  <c r="FA31" i="3"/>
  <c r="EZ31" i="3"/>
  <c r="EY31" i="3"/>
  <c r="EX31" i="3"/>
  <c r="EW31" i="3"/>
  <c r="EV31" i="3"/>
  <c r="EU31" i="3"/>
  <c r="ET31" i="3"/>
  <c r="ES31" i="3"/>
  <c r="ER31" i="3"/>
  <c r="EQ31" i="3"/>
  <c r="EP31" i="3"/>
  <c r="EO31" i="3"/>
  <c r="EN31" i="3"/>
  <c r="EM31" i="3"/>
  <c r="EL31" i="3"/>
  <c r="EK31" i="3"/>
  <c r="EJ31" i="3"/>
  <c r="EI31" i="3"/>
  <c r="EH31" i="3"/>
  <c r="EG31" i="3"/>
  <c r="EF31" i="3"/>
  <c r="EE31" i="3"/>
  <c r="ED31" i="3"/>
  <c r="EC31" i="3"/>
  <c r="EB31" i="3"/>
  <c r="EA31" i="3"/>
  <c r="DZ31" i="3"/>
  <c r="DY31" i="3"/>
  <c r="DW31" i="3"/>
  <c r="DV31" i="3"/>
  <c r="DU31" i="3"/>
  <c r="DT31" i="3"/>
  <c r="DS31" i="3"/>
  <c r="DR31" i="3"/>
  <c r="DQ31" i="3"/>
  <c r="DP31" i="3"/>
  <c r="DO31" i="3"/>
  <c r="DN31" i="3"/>
  <c r="DM31" i="3"/>
  <c r="DL31" i="3"/>
  <c r="DH31" i="3"/>
  <c r="DG31" i="3"/>
  <c r="BP31" i="3"/>
  <c r="BO31" i="3"/>
  <c r="AC31" i="3"/>
  <c r="AH31" i="3" s="1"/>
  <c r="V31" i="3"/>
  <c r="AB31" i="3" s="1"/>
  <c r="U31" i="3"/>
  <c r="T31" i="3"/>
  <c r="O31" i="3"/>
  <c r="FN30" i="3"/>
  <c r="FM30" i="3"/>
  <c r="FL30" i="3"/>
  <c r="FK30" i="3"/>
  <c r="FJ30" i="3"/>
  <c r="FI30" i="3"/>
  <c r="FH30" i="3"/>
  <c r="FG30" i="3"/>
  <c r="FF30" i="3"/>
  <c r="FE30" i="3"/>
  <c r="FD30" i="3"/>
  <c r="FC30" i="3"/>
  <c r="FB30" i="3"/>
  <c r="FA30" i="3"/>
  <c r="EZ30" i="3"/>
  <c r="EY30" i="3"/>
  <c r="EX30" i="3"/>
  <c r="EW30" i="3"/>
  <c r="EV30" i="3"/>
  <c r="EU30" i="3"/>
  <c r="ET30" i="3"/>
  <c r="ES30" i="3"/>
  <c r="ER30" i="3"/>
  <c r="EQ30" i="3"/>
  <c r="EP30" i="3"/>
  <c r="EO30" i="3"/>
  <c r="EN30" i="3"/>
  <c r="EM30" i="3"/>
  <c r="EL30" i="3"/>
  <c r="EK30" i="3"/>
  <c r="EJ30" i="3"/>
  <c r="EI30" i="3"/>
  <c r="EH30" i="3"/>
  <c r="EG30" i="3"/>
  <c r="EF30" i="3"/>
  <c r="EE30" i="3"/>
  <c r="ED30" i="3"/>
  <c r="EC30" i="3"/>
  <c r="EB30" i="3"/>
  <c r="EA30" i="3"/>
  <c r="DZ30" i="3"/>
  <c r="DY30" i="3"/>
  <c r="DW30" i="3"/>
  <c r="DV30" i="3"/>
  <c r="DU30" i="3"/>
  <c r="DT30" i="3"/>
  <c r="DS30" i="3"/>
  <c r="DR30" i="3"/>
  <c r="DQ30" i="3"/>
  <c r="DP30" i="3"/>
  <c r="DO30" i="3"/>
  <c r="DN30" i="3"/>
  <c r="DM30" i="3"/>
  <c r="DL30" i="3"/>
  <c r="DH30" i="3"/>
  <c r="DG30" i="3"/>
  <c r="BP30" i="3"/>
  <c r="BO30" i="3"/>
  <c r="AC30" i="3"/>
  <c r="AH30" i="3" s="1"/>
  <c r="V30" i="3"/>
  <c r="AB30" i="3" s="1"/>
  <c r="U30" i="3"/>
  <c r="T30" i="3"/>
  <c r="O30" i="3"/>
  <c r="FN6" i="3"/>
  <c r="FM6" i="3"/>
  <c r="FL6" i="3"/>
  <c r="FK6" i="3"/>
  <c r="FJ6" i="3"/>
  <c r="FI6" i="3"/>
  <c r="FH6" i="3"/>
  <c r="FG6" i="3"/>
  <c r="FF6" i="3"/>
  <c r="FE6" i="3"/>
  <c r="FD6" i="3"/>
  <c r="FC6" i="3"/>
  <c r="FB6" i="3"/>
  <c r="DW6" i="3" s="1"/>
  <c r="FA6" i="3"/>
  <c r="EZ6" i="3"/>
  <c r="EY6" i="3"/>
  <c r="EX6" i="3"/>
  <c r="EW6" i="3"/>
  <c r="EV6" i="3"/>
  <c r="DV6" i="3" s="1"/>
  <c r="EU6" i="3"/>
  <c r="ET6" i="3"/>
  <c r="ES6" i="3"/>
  <c r="ER6" i="3"/>
  <c r="EQ6" i="3"/>
  <c r="EP6" i="3"/>
  <c r="EO6" i="3"/>
  <c r="EN6" i="3"/>
  <c r="EM6" i="3"/>
  <c r="DT6" i="3" s="1"/>
  <c r="EL6" i="3"/>
  <c r="EK6" i="3"/>
  <c r="EJ6" i="3"/>
  <c r="EI6" i="3"/>
  <c r="EH6" i="3"/>
  <c r="EG6" i="3"/>
  <c r="EF6" i="3"/>
  <c r="EE6" i="3"/>
  <c r="ED6" i="3"/>
  <c r="EC6" i="3"/>
  <c r="EB6" i="3"/>
  <c r="EA6" i="3"/>
  <c r="DZ6" i="3"/>
  <c r="DY6" i="3"/>
  <c r="DM6" i="3"/>
  <c r="DH6" i="3"/>
  <c r="DG6" i="3"/>
  <c r="BP6" i="3"/>
  <c r="BO6" i="3"/>
  <c r="AC6" i="3"/>
  <c r="AH6" i="3" s="1"/>
  <c r="V6" i="3"/>
  <c r="AB6" i="3" s="1"/>
  <c r="U6" i="3"/>
  <c r="T6" i="3"/>
  <c r="O6" i="3"/>
  <c r="AA5" i="3" l="1"/>
  <c r="AF5" i="3" s="1"/>
  <c r="W5" i="3"/>
  <c r="DN6" i="3"/>
  <c r="DS6" i="3"/>
  <c r="DL6" i="3"/>
  <c r="DO6" i="3"/>
  <c r="DR6" i="3"/>
  <c r="DP6" i="3"/>
  <c r="DR5" i="3"/>
  <c r="DN5" i="3"/>
  <c r="DL5" i="3"/>
  <c r="DQ6" i="3"/>
  <c r="DU6" i="3"/>
  <c r="DP5" i="3"/>
  <c r="DS5" i="3"/>
  <c r="DU5" i="3"/>
  <c r="DO5" i="3"/>
  <c r="DQ5" i="3"/>
  <c r="AB20" i="3"/>
  <c r="AG20" i="3" s="1"/>
  <c r="AL20" i="3" s="1"/>
  <c r="AB21" i="3"/>
  <c r="AG21" i="3" s="1"/>
  <c r="AL21" i="3" s="1"/>
  <c r="AB8" i="3"/>
  <c r="AG8" i="3" s="1"/>
  <c r="AL8" i="3" s="1"/>
  <c r="AB16" i="3"/>
  <c r="AG16" i="3" s="1"/>
  <c r="AL16" i="3" s="1"/>
  <c r="AB17" i="3"/>
  <c r="AG17" i="3" s="1"/>
  <c r="AL17" i="3" s="1"/>
  <c r="AB5" i="3"/>
  <c r="AG5" i="3" s="1"/>
  <c r="AL5" i="3" s="1"/>
  <c r="AG18" i="3"/>
  <c r="AL18" i="3" s="1"/>
  <c r="AG22" i="3"/>
  <c r="AL22" i="3" s="1"/>
  <c r="AG7" i="3"/>
  <c r="AL7" i="3" s="1"/>
  <c r="AF9" i="3"/>
  <c r="AK9" i="3" s="1"/>
  <c r="AF10" i="3"/>
  <c r="AK10" i="3" s="1"/>
  <c r="AF11" i="3"/>
  <c r="AK11" i="3" s="1"/>
  <c r="AF12" i="3"/>
  <c r="AK12" i="3" s="1"/>
  <c r="AF13" i="3"/>
  <c r="AK13" i="3" s="1"/>
  <c r="AF14" i="3"/>
  <c r="AK14" i="3" s="1"/>
  <c r="AF15" i="3"/>
  <c r="AK15" i="3" s="1"/>
  <c r="AG19" i="3"/>
  <c r="AL19" i="3" s="1"/>
  <c r="AF26" i="3"/>
  <c r="AK26" i="3" s="1"/>
  <c r="AM5" i="3"/>
  <c r="AA37" i="3"/>
  <c r="W7" i="3"/>
  <c r="AF7" i="3"/>
  <c r="W8" i="3"/>
  <c r="AM9" i="3"/>
  <c r="AM10" i="3"/>
  <c r="AM11" i="3"/>
  <c r="AM12" i="3"/>
  <c r="AM13" i="3"/>
  <c r="AM14" i="3"/>
  <c r="AM15" i="3"/>
  <c r="AA30" i="3"/>
  <c r="AA31" i="3"/>
  <c r="AA32" i="3"/>
  <c r="AA33" i="3"/>
  <c r="AM7" i="3"/>
  <c r="AA8" i="3"/>
  <c r="AM8" i="3"/>
  <c r="AG9" i="3"/>
  <c r="AG10" i="3"/>
  <c r="AG11" i="3"/>
  <c r="AG12" i="3"/>
  <c r="AG13" i="3"/>
  <c r="AG14" i="3"/>
  <c r="AG15" i="3"/>
  <c r="W9" i="3"/>
  <c r="W10" i="3"/>
  <c r="W11" i="3"/>
  <c r="W12" i="3"/>
  <c r="W13" i="3"/>
  <c r="W14" i="3"/>
  <c r="W15" i="3"/>
  <c r="W16" i="3"/>
  <c r="AF16" i="3"/>
  <c r="W17" i="3"/>
  <c r="AF17" i="3"/>
  <c r="W18" i="3"/>
  <c r="AF18" i="3"/>
  <c r="W19" i="3"/>
  <c r="AF19" i="3"/>
  <c r="W20" i="3"/>
  <c r="AF20" i="3"/>
  <c r="W21" i="3"/>
  <c r="AF21" i="3"/>
  <c r="W22" i="3"/>
  <c r="AF22" i="3"/>
  <c r="W23" i="3"/>
  <c r="AA23" i="3"/>
  <c r="AM23" i="3"/>
  <c r="AM25" i="3"/>
  <c r="AM26" i="3"/>
  <c r="AM16" i="3"/>
  <c r="AM17" i="3"/>
  <c r="AM18" i="3"/>
  <c r="AM19" i="3"/>
  <c r="AM20" i="3"/>
  <c r="AM21" i="3"/>
  <c r="AM22" i="3"/>
  <c r="AM24" i="3"/>
  <c r="AG23" i="3"/>
  <c r="AA24" i="3"/>
  <c r="AG24" i="3"/>
  <c r="AA25" i="3"/>
  <c r="AG25" i="3"/>
  <c r="AG26" i="3"/>
  <c r="AM28" i="3"/>
  <c r="W24" i="3"/>
  <c r="W25" i="3"/>
  <c r="W26" i="3"/>
  <c r="AM27" i="3"/>
  <c r="AM29" i="3"/>
  <c r="AA27" i="3"/>
  <c r="AG27" i="3"/>
  <c r="AA28" i="3"/>
  <c r="AG28" i="3"/>
  <c r="AA29" i="3"/>
  <c r="AG29" i="3"/>
  <c r="W27" i="3"/>
  <c r="W28" i="3"/>
  <c r="W29" i="3"/>
  <c r="AM6" i="3"/>
  <c r="AM30" i="3"/>
  <c r="AM31" i="3"/>
  <c r="AM32" i="3"/>
  <c r="AM33" i="3"/>
  <c r="AA6" i="3"/>
  <c r="AG6" i="3"/>
  <c r="AG30" i="3"/>
  <c r="AG31" i="3"/>
  <c r="AG32" i="3"/>
  <c r="AG33" i="3"/>
  <c r="AM34" i="3"/>
  <c r="AM36" i="3"/>
  <c r="AM37" i="3"/>
  <c r="W6" i="3"/>
  <c r="W30" i="3"/>
  <c r="W31" i="3"/>
  <c r="W32" i="3"/>
  <c r="W33" i="3"/>
  <c r="AM35" i="3"/>
  <c r="AA34" i="3"/>
  <c r="AG34" i="3"/>
  <c r="AA35" i="3"/>
  <c r="AG35" i="3"/>
  <c r="AA36" i="3"/>
  <c r="AG36" i="3"/>
  <c r="AG37" i="3"/>
  <c r="AM39" i="3"/>
  <c r="W34" i="3"/>
  <c r="W35" i="3"/>
  <c r="W36" i="3"/>
  <c r="W37" i="3"/>
  <c r="AM38" i="3"/>
  <c r="AM40" i="3"/>
  <c r="AA38" i="3"/>
  <c r="AG38" i="3"/>
  <c r="AA39" i="3"/>
  <c r="AG39" i="3"/>
  <c r="AA40" i="3"/>
  <c r="AG40" i="3"/>
  <c r="W38" i="3"/>
  <c r="W39" i="3"/>
  <c r="W40" i="3"/>
  <c r="AF40" i="3" l="1"/>
  <c r="AK40" i="3" s="1"/>
  <c r="AF35" i="3"/>
  <c r="AK35" i="3" s="1"/>
  <c r="AF34" i="3"/>
  <c r="AK34" i="3" s="1"/>
  <c r="AF25" i="3"/>
  <c r="AK25" i="3" s="1"/>
  <c r="AF33" i="3"/>
  <c r="AK33" i="3" s="1"/>
  <c r="AF31" i="3"/>
  <c r="AK31" i="3" s="1"/>
  <c r="AF37" i="3"/>
  <c r="AK37" i="3" s="1"/>
  <c r="AF29" i="3"/>
  <c r="AK29" i="3" s="1"/>
  <c r="AF32" i="3"/>
  <c r="AK32" i="3" s="1"/>
  <c r="AF30" i="3"/>
  <c r="AK30" i="3" s="1"/>
  <c r="AD5" i="3"/>
  <c r="AE5" i="3" s="1"/>
  <c r="AK5" i="3"/>
  <c r="AD28" i="3"/>
  <c r="AI28" i="3" s="1"/>
  <c r="AL27" i="3"/>
  <c r="AD26" i="3"/>
  <c r="AE26" i="3" s="1"/>
  <c r="AL26" i="3"/>
  <c r="AF24" i="3"/>
  <c r="AD23" i="3"/>
  <c r="AI23" i="3" s="1"/>
  <c r="AK22" i="3"/>
  <c r="AK21" i="3"/>
  <c r="AK20" i="3"/>
  <c r="AK19" i="3"/>
  <c r="AK18" i="3"/>
  <c r="AK17" i="3"/>
  <c r="AK16" i="3"/>
  <c r="AD14" i="3"/>
  <c r="AE14" i="3" s="1"/>
  <c r="AD12" i="3"/>
  <c r="AE12" i="3" s="1"/>
  <c r="AD10" i="3"/>
  <c r="AE10" i="3" s="1"/>
  <c r="AL15" i="3"/>
  <c r="AL13" i="3"/>
  <c r="AL11" i="3"/>
  <c r="AL9" i="3"/>
  <c r="AD8" i="3"/>
  <c r="AI8" i="3" s="1"/>
  <c r="AK7" i="3"/>
  <c r="AL29" i="3"/>
  <c r="AL28" i="3"/>
  <c r="AD24" i="3"/>
  <c r="AE24" i="3" s="1"/>
  <c r="AD29" i="3"/>
  <c r="AI29" i="3" s="1"/>
  <c r="AD27" i="3"/>
  <c r="AI27" i="3" s="1"/>
  <c r="AF27" i="3"/>
  <c r="AD25" i="3"/>
  <c r="AI25" i="3" s="1"/>
  <c r="AF28" i="3"/>
  <c r="AL25" i="3"/>
  <c r="AL24" i="3"/>
  <c r="AL23" i="3"/>
  <c r="AF23" i="3"/>
  <c r="AD22" i="3"/>
  <c r="AE22" i="3" s="1"/>
  <c r="AD21" i="3"/>
  <c r="AE21" i="3" s="1"/>
  <c r="AD20" i="3"/>
  <c r="AE20" i="3" s="1"/>
  <c r="AD19" i="3"/>
  <c r="AE19" i="3" s="1"/>
  <c r="AD18" i="3"/>
  <c r="AE18" i="3" s="1"/>
  <c r="AD17" i="3"/>
  <c r="AE17" i="3" s="1"/>
  <c r="AD16" i="3"/>
  <c r="AE16" i="3" s="1"/>
  <c r="AD15" i="3"/>
  <c r="AE15" i="3" s="1"/>
  <c r="AD13" i="3"/>
  <c r="AE13" i="3" s="1"/>
  <c r="AD11" i="3"/>
  <c r="AE11" i="3" s="1"/>
  <c r="AD9" i="3"/>
  <c r="AE9" i="3" s="1"/>
  <c r="AL14" i="3"/>
  <c r="AL12" i="3"/>
  <c r="AL10" i="3"/>
  <c r="AF8" i="3"/>
  <c r="AD7" i="3"/>
  <c r="AE7" i="3" s="1"/>
  <c r="AD39" i="3"/>
  <c r="AI39" i="3" s="1"/>
  <c r="AL39" i="3"/>
  <c r="AD40" i="3"/>
  <c r="AI40" i="3" s="1"/>
  <c r="AD38" i="3"/>
  <c r="AI38" i="3" s="1"/>
  <c r="AF38" i="3"/>
  <c r="AD36" i="3"/>
  <c r="AI36" i="3" s="1"/>
  <c r="AD34" i="3"/>
  <c r="AI34" i="3" s="1"/>
  <c r="AL37" i="3"/>
  <c r="AD32" i="3"/>
  <c r="AE32" i="3" s="1"/>
  <c r="AD30" i="3"/>
  <c r="AE30" i="3" s="1"/>
  <c r="AF36" i="3"/>
  <c r="AL33" i="3"/>
  <c r="AL31" i="3"/>
  <c r="AL6" i="3"/>
  <c r="AL40" i="3"/>
  <c r="AL38" i="3"/>
  <c r="AD37" i="3"/>
  <c r="AE37" i="3" s="1"/>
  <c r="AD35" i="3"/>
  <c r="AI35" i="3" s="1"/>
  <c r="AF39" i="3"/>
  <c r="AL36" i="3"/>
  <c r="AL35" i="3"/>
  <c r="AL34" i="3"/>
  <c r="AD33" i="3"/>
  <c r="AE33" i="3" s="1"/>
  <c r="AD31" i="3"/>
  <c r="AE31" i="3" s="1"/>
  <c r="AD6" i="3"/>
  <c r="AI6" i="3" s="1"/>
  <c r="AL32" i="3"/>
  <c r="AL30" i="3"/>
  <c r="AF6" i="3"/>
  <c r="DW53" i="3"/>
  <c r="DV53" i="3"/>
  <c r="DU53" i="3"/>
  <c r="DT53" i="3"/>
  <c r="DS53" i="3"/>
  <c r="DR53" i="3"/>
  <c r="DQ53" i="3"/>
  <c r="DP53" i="3"/>
  <c r="DO53" i="3"/>
  <c r="DN53" i="3"/>
  <c r="DM53" i="3"/>
  <c r="DL53" i="3"/>
  <c r="DW52" i="3"/>
  <c r="DV52" i="3"/>
  <c r="DU52" i="3"/>
  <c r="DT52" i="3"/>
  <c r="DS52" i="3"/>
  <c r="DR52" i="3"/>
  <c r="DQ52" i="3"/>
  <c r="DP52" i="3"/>
  <c r="DO52" i="3"/>
  <c r="DN52" i="3"/>
  <c r="DM52" i="3"/>
  <c r="DL52" i="3"/>
  <c r="DW51" i="3"/>
  <c r="DV51" i="3"/>
  <c r="DU51" i="3"/>
  <c r="DT51" i="3"/>
  <c r="DS51" i="3"/>
  <c r="DR51" i="3"/>
  <c r="DQ51" i="3"/>
  <c r="DP51" i="3"/>
  <c r="DO51" i="3"/>
  <c r="DN51" i="3"/>
  <c r="DM51" i="3"/>
  <c r="DL51" i="3"/>
  <c r="DW50" i="3"/>
  <c r="DV50" i="3"/>
  <c r="DU50" i="3"/>
  <c r="DT50" i="3"/>
  <c r="DS50" i="3"/>
  <c r="DR50" i="3"/>
  <c r="DQ50" i="3"/>
  <c r="DP50" i="3"/>
  <c r="DO50" i="3"/>
  <c r="DN50" i="3"/>
  <c r="DM50" i="3"/>
  <c r="DL50" i="3"/>
  <c r="DW49" i="3"/>
  <c r="DV49" i="3"/>
  <c r="DU49" i="3"/>
  <c r="DT49" i="3"/>
  <c r="DS49" i="3"/>
  <c r="DR49" i="3"/>
  <c r="DQ49" i="3"/>
  <c r="DP49" i="3"/>
  <c r="DO49" i="3"/>
  <c r="DN49" i="3"/>
  <c r="DM49" i="3"/>
  <c r="DL49" i="3"/>
  <c r="DW48" i="3"/>
  <c r="DV48" i="3"/>
  <c r="DU48" i="3"/>
  <c r="DT48" i="3"/>
  <c r="DS48" i="3"/>
  <c r="DR48" i="3"/>
  <c r="DQ48" i="3"/>
  <c r="DP48" i="3"/>
  <c r="DO48" i="3"/>
  <c r="DN48" i="3"/>
  <c r="DM48" i="3"/>
  <c r="DL48" i="3"/>
  <c r="DW47" i="3"/>
  <c r="DV47" i="3"/>
  <c r="DU47" i="3"/>
  <c r="DT47" i="3"/>
  <c r="DS47" i="3"/>
  <c r="DR47" i="3"/>
  <c r="DQ47" i="3"/>
  <c r="DP47" i="3"/>
  <c r="DO47" i="3"/>
  <c r="DN47" i="3"/>
  <c r="DM47" i="3"/>
  <c r="DL47" i="3"/>
  <c r="DW46" i="3"/>
  <c r="DV46" i="3"/>
  <c r="DU46" i="3"/>
  <c r="DT46" i="3"/>
  <c r="DS46" i="3"/>
  <c r="DR46" i="3"/>
  <c r="DQ46" i="3"/>
  <c r="DP46" i="3"/>
  <c r="DO46" i="3"/>
  <c r="DN46" i="3"/>
  <c r="DM46" i="3"/>
  <c r="DL46" i="3"/>
  <c r="DW45" i="3"/>
  <c r="DV45" i="3"/>
  <c r="DU45" i="3"/>
  <c r="DT45" i="3"/>
  <c r="DS45" i="3"/>
  <c r="DR45" i="3"/>
  <c r="DQ45" i="3"/>
  <c r="DP45" i="3"/>
  <c r="DO45" i="3"/>
  <c r="DN45" i="3"/>
  <c r="DM45" i="3"/>
  <c r="DL45" i="3"/>
  <c r="DW44" i="3"/>
  <c r="DV44" i="3"/>
  <c r="DU44" i="3"/>
  <c r="DT44" i="3"/>
  <c r="DS44" i="3"/>
  <c r="DR44" i="3"/>
  <c r="DQ44" i="3"/>
  <c r="DP44" i="3"/>
  <c r="DO44" i="3"/>
  <c r="DN44" i="3"/>
  <c r="DM44" i="3"/>
  <c r="DL44" i="3"/>
  <c r="DW43" i="3"/>
  <c r="DV43" i="3"/>
  <c r="DU43" i="3"/>
  <c r="DT43" i="3"/>
  <c r="DS43" i="3"/>
  <c r="DR43" i="3"/>
  <c r="DQ43" i="3"/>
  <c r="DP43" i="3"/>
  <c r="DO43" i="3"/>
  <c r="DN43" i="3"/>
  <c r="DM43" i="3"/>
  <c r="DL43" i="3"/>
  <c r="DW42" i="3"/>
  <c r="DV42" i="3"/>
  <c r="DU42" i="3"/>
  <c r="DT42" i="3"/>
  <c r="DS42" i="3"/>
  <c r="DR42" i="3"/>
  <c r="DQ42" i="3"/>
  <c r="DP42" i="3"/>
  <c r="DO42" i="3"/>
  <c r="DN42" i="3"/>
  <c r="DM42" i="3"/>
  <c r="DL42" i="3"/>
  <c r="DW41" i="3"/>
  <c r="DV41" i="3"/>
  <c r="DU41" i="3"/>
  <c r="DT41" i="3"/>
  <c r="DS41" i="3"/>
  <c r="DR41" i="3"/>
  <c r="DQ41" i="3"/>
  <c r="DP41" i="3"/>
  <c r="DO41" i="3"/>
  <c r="DN41" i="3"/>
  <c r="DM41" i="3"/>
  <c r="DL41" i="3"/>
  <c r="AJ40" i="3" l="1"/>
  <c r="F47" i="11" s="1"/>
  <c r="K1267" i="11" s="1"/>
  <c r="AE27" i="3"/>
  <c r="AE29" i="3"/>
  <c r="AE6" i="3"/>
  <c r="AE8" i="3"/>
  <c r="AE25" i="3"/>
  <c r="AE34" i="3"/>
  <c r="AE35" i="3"/>
  <c r="AE36" i="3"/>
  <c r="AE40" i="3"/>
  <c r="AE23" i="3"/>
  <c r="AE28" i="3"/>
  <c r="AE39" i="3"/>
  <c r="AE38" i="3"/>
  <c r="AI30" i="3"/>
  <c r="AJ30" i="3" s="1"/>
  <c r="F37" i="11" s="1"/>
  <c r="AI11" i="3"/>
  <c r="AJ11" i="3" s="1"/>
  <c r="F18" i="11" s="1"/>
  <c r="AI26" i="3"/>
  <c r="AJ26" i="3" s="1"/>
  <c r="F33" i="11" s="1"/>
  <c r="AI15" i="3"/>
  <c r="AJ15" i="3" s="1"/>
  <c r="F22" i="11" s="1"/>
  <c r="AI24" i="3"/>
  <c r="AN24" i="3" s="1"/>
  <c r="AI5" i="3"/>
  <c r="AJ5" i="3" s="1"/>
  <c r="F12" i="11" s="1"/>
  <c r="AI14" i="3"/>
  <c r="AJ14" i="3" s="1"/>
  <c r="F21" i="11" s="1"/>
  <c r="AI32" i="3"/>
  <c r="AJ32" i="3" s="1"/>
  <c r="F39" i="11" s="1"/>
  <c r="AI9" i="3"/>
  <c r="AJ9" i="3" s="1"/>
  <c r="F16" i="11" s="1"/>
  <c r="AI13" i="3"/>
  <c r="AJ13" i="3" s="1"/>
  <c r="F20" i="11" s="1"/>
  <c r="AN27" i="3"/>
  <c r="AN8" i="3"/>
  <c r="AN25" i="3"/>
  <c r="AO25" i="3" s="1"/>
  <c r="AJ25" i="3"/>
  <c r="F32" i="11" s="1"/>
  <c r="AN29" i="3"/>
  <c r="AO29" i="3" s="1"/>
  <c r="AJ29" i="3"/>
  <c r="F36" i="11" s="1"/>
  <c r="AN23" i="3"/>
  <c r="AN28" i="3"/>
  <c r="AJ8" i="3"/>
  <c r="F15" i="11" s="1"/>
  <c r="AK8" i="3"/>
  <c r="AJ23" i="3"/>
  <c r="F30" i="11" s="1"/>
  <c r="K706" i="11" s="1"/>
  <c r="AK23" i="3"/>
  <c r="AJ28" i="3"/>
  <c r="F35" i="11" s="1"/>
  <c r="AK28" i="3"/>
  <c r="AI7" i="3"/>
  <c r="AI16" i="3"/>
  <c r="AI17" i="3"/>
  <c r="AI18" i="3"/>
  <c r="AI19" i="3"/>
  <c r="AI20" i="3"/>
  <c r="AI21" i="3"/>
  <c r="AI22" i="3"/>
  <c r="AJ27" i="3"/>
  <c r="F34" i="11" s="1"/>
  <c r="AK27" i="3"/>
  <c r="AI10" i="3"/>
  <c r="AI12" i="3"/>
  <c r="AK24" i="3"/>
  <c r="AN6" i="3"/>
  <c r="AN34" i="3"/>
  <c r="AO34" i="3" s="1"/>
  <c r="AJ34" i="3"/>
  <c r="F41" i="11" s="1"/>
  <c r="K1063" i="11" s="1"/>
  <c r="AN35" i="3"/>
  <c r="AO35" i="3" s="1"/>
  <c r="AJ35" i="3"/>
  <c r="F42" i="11" s="1"/>
  <c r="K1097" i="11" s="1"/>
  <c r="AN36" i="3"/>
  <c r="AN39" i="3"/>
  <c r="AJ39" i="3"/>
  <c r="F46" i="11" s="1"/>
  <c r="K1233" i="11" s="1"/>
  <c r="AK39" i="3"/>
  <c r="AJ36" i="3"/>
  <c r="F43" i="11" s="1"/>
  <c r="AK36" i="3"/>
  <c r="AN38" i="3"/>
  <c r="AN40" i="3"/>
  <c r="AO40" i="3" s="1"/>
  <c r="AJ6" i="3"/>
  <c r="AK6" i="3"/>
  <c r="AI31" i="3"/>
  <c r="AI33" i="3"/>
  <c r="AI37" i="3"/>
  <c r="AJ38" i="3"/>
  <c r="F45" i="11" s="1"/>
  <c r="K1199" i="11" s="1"/>
  <c r="AK38" i="3"/>
  <c r="AR4" i="6"/>
  <c r="AP4" i="6"/>
  <c r="AK4" i="6"/>
  <c r="AM4" i="6"/>
  <c r="AN30" i="3" l="1"/>
  <c r="AO30" i="3" s="1"/>
  <c r="AN11" i="3"/>
  <c r="AO11" i="3" s="1"/>
  <c r="AN15" i="3"/>
  <c r="AO15" i="3" s="1"/>
  <c r="AN26" i="3"/>
  <c r="AO26" i="3" s="1"/>
  <c r="AN32" i="3"/>
  <c r="AO32" i="3" s="1"/>
  <c r="AN9" i="3"/>
  <c r="AO9" i="3" s="1"/>
  <c r="AN5" i="3"/>
  <c r="AO5" i="3" s="1"/>
  <c r="AJ24" i="3"/>
  <c r="F31" i="11" s="1"/>
  <c r="AN14" i="3"/>
  <c r="AO14" i="3" s="1"/>
  <c r="AN13" i="3"/>
  <c r="AO13" i="3" s="1"/>
  <c r="AN12" i="3"/>
  <c r="AJ12" i="3"/>
  <c r="F19" i="11" s="1"/>
  <c r="AO27" i="3"/>
  <c r="AN21" i="3"/>
  <c r="AJ21" i="3"/>
  <c r="F28" i="11" s="1"/>
  <c r="AN19" i="3"/>
  <c r="AJ19" i="3"/>
  <c r="F26" i="11" s="1"/>
  <c r="AN17" i="3"/>
  <c r="AJ17" i="3"/>
  <c r="F24" i="11" s="1"/>
  <c r="AO28" i="3"/>
  <c r="AO24" i="3"/>
  <c r="AN10" i="3"/>
  <c r="AJ10" i="3"/>
  <c r="F17" i="11" s="1"/>
  <c r="AN22" i="3"/>
  <c r="AJ22" i="3"/>
  <c r="F29" i="11" s="1"/>
  <c r="AN20" i="3"/>
  <c r="AJ20" i="3"/>
  <c r="F27" i="11" s="1"/>
  <c r="AN18" i="3"/>
  <c r="AJ18" i="3"/>
  <c r="F25" i="11" s="1"/>
  <c r="AN16" i="3"/>
  <c r="AJ16" i="3"/>
  <c r="F23" i="11" s="1"/>
  <c r="AN7" i="3"/>
  <c r="AJ7" i="3"/>
  <c r="F14" i="11" s="1"/>
  <c r="AO23" i="3"/>
  <c r="AO8" i="3"/>
  <c r="AN37" i="3"/>
  <c r="AJ37" i="3"/>
  <c r="F44" i="11" s="1"/>
  <c r="AN31" i="3"/>
  <c r="AJ31" i="3"/>
  <c r="F38" i="11" s="1"/>
  <c r="AO39" i="3"/>
  <c r="AO38" i="3"/>
  <c r="AN33" i="3"/>
  <c r="AJ33" i="3"/>
  <c r="F40" i="11" s="1"/>
  <c r="AO6" i="3"/>
  <c r="AO36" i="3"/>
  <c r="BO41" i="3"/>
  <c r="BP41" i="3"/>
  <c r="BO42" i="3"/>
  <c r="BP42" i="3"/>
  <c r="BO43" i="3"/>
  <c r="BP43" i="3"/>
  <c r="BO44" i="3"/>
  <c r="BP44" i="3"/>
  <c r="BO45" i="3"/>
  <c r="BP45" i="3"/>
  <c r="BO46" i="3"/>
  <c r="BP46" i="3"/>
  <c r="BO47" i="3"/>
  <c r="BP47" i="3"/>
  <c r="BO48" i="3"/>
  <c r="BP48" i="3"/>
  <c r="BO49" i="3"/>
  <c r="BP49" i="3"/>
  <c r="BO50" i="3"/>
  <c r="BP50" i="3"/>
  <c r="BO51" i="3"/>
  <c r="BP51" i="3"/>
  <c r="BO52" i="3"/>
  <c r="BP52" i="3"/>
  <c r="BO53" i="3"/>
  <c r="BP53" i="3"/>
  <c r="BP4" i="3"/>
  <c r="BO4" i="3"/>
  <c r="AO7" i="3" l="1"/>
  <c r="AO16" i="3"/>
  <c r="AO18" i="3"/>
  <c r="AO20" i="3"/>
  <c r="AO22" i="3"/>
  <c r="AO10" i="3"/>
  <c r="AO12" i="3"/>
  <c r="AO17" i="3"/>
  <c r="AO19" i="3"/>
  <c r="AO21" i="3"/>
  <c r="AO33" i="3"/>
  <c r="AO31" i="3"/>
  <c r="AO37" i="3"/>
  <c r="FN42" i="3" l="1"/>
  <c r="FM42" i="3"/>
  <c r="FL42" i="3"/>
  <c r="FK42" i="3"/>
  <c r="FJ42" i="3"/>
  <c r="FI42" i="3"/>
  <c r="FH42" i="3"/>
  <c r="FG42" i="3"/>
  <c r="FF42" i="3"/>
  <c r="FE42" i="3"/>
  <c r="FD42" i="3"/>
  <c r="FC42" i="3"/>
  <c r="FB42" i="3"/>
  <c r="FA42" i="3"/>
  <c r="EZ42" i="3"/>
  <c r="EY42" i="3"/>
  <c r="EX42" i="3"/>
  <c r="EW42" i="3"/>
  <c r="EV42" i="3"/>
  <c r="EU42" i="3"/>
  <c r="ET42" i="3"/>
  <c r="ES42" i="3"/>
  <c r="ER42" i="3"/>
  <c r="EQ42" i="3"/>
  <c r="EP42" i="3"/>
  <c r="EO42" i="3"/>
  <c r="EN42" i="3"/>
  <c r="EM42" i="3"/>
  <c r="EL42" i="3"/>
  <c r="EK42" i="3"/>
  <c r="EJ42" i="3"/>
  <c r="EI42" i="3"/>
  <c r="EH42" i="3"/>
  <c r="EG42" i="3"/>
  <c r="EF42" i="3"/>
  <c r="EE42" i="3"/>
  <c r="ED42" i="3"/>
  <c r="EC42" i="3"/>
  <c r="EB42" i="3"/>
  <c r="EA42" i="3"/>
  <c r="DZ42" i="3"/>
  <c r="DY42" i="3"/>
  <c r="DH42" i="3"/>
  <c r="DG42" i="3"/>
  <c r="AC42" i="3"/>
  <c r="AH42" i="3" s="1"/>
  <c r="V42" i="3"/>
  <c r="AB42" i="3" s="1"/>
  <c r="U42" i="3"/>
  <c r="T42" i="3"/>
  <c r="O42" i="3"/>
  <c r="FN41" i="3"/>
  <c r="FM41" i="3"/>
  <c r="FL41" i="3"/>
  <c r="FK41" i="3"/>
  <c r="FJ41" i="3"/>
  <c r="FI41" i="3"/>
  <c r="FH41" i="3"/>
  <c r="FG41" i="3"/>
  <c r="FF41" i="3"/>
  <c r="FE41" i="3"/>
  <c r="FD41" i="3"/>
  <c r="FC41" i="3"/>
  <c r="FB41" i="3"/>
  <c r="FA41" i="3"/>
  <c r="EZ41" i="3"/>
  <c r="EY41" i="3"/>
  <c r="EX41" i="3"/>
  <c r="EW41" i="3"/>
  <c r="EV41" i="3"/>
  <c r="EU41" i="3"/>
  <c r="ET41" i="3"/>
  <c r="ES41" i="3"/>
  <c r="ER41" i="3"/>
  <c r="EQ41" i="3"/>
  <c r="EP41" i="3"/>
  <c r="EO41" i="3"/>
  <c r="EN41" i="3"/>
  <c r="EM41" i="3"/>
  <c r="EL41" i="3"/>
  <c r="EK41" i="3"/>
  <c r="EJ41" i="3"/>
  <c r="EI41" i="3"/>
  <c r="EH41" i="3"/>
  <c r="EG41" i="3"/>
  <c r="EF41" i="3"/>
  <c r="EE41" i="3"/>
  <c r="ED41" i="3"/>
  <c r="EC41" i="3"/>
  <c r="EB41" i="3"/>
  <c r="EA41" i="3"/>
  <c r="DZ41" i="3"/>
  <c r="DY41" i="3"/>
  <c r="DH41" i="3"/>
  <c r="DG41" i="3"/>
  <c r="AC41" i="3"/>
  <c r="AH41" i="3" s="1"/>
  <c r="V41" i="3"/>
  <c r="AB41" i="3" s="1"/>
  <c r="U41" i="3"/>
  <c r="T41" i="3"/>
  <c r="O41" i="3"/>
  <c r="AA41" i="3" l="1"/>
  <c r="AM41" i="3"/>
  <c r="AM42" i="3"/>
  <c r="AG41" i="3"/>
  <c r="AA42" i="3"/>
  <c r="AG42" i="3"/>
  <c r="W41" i="3"/>
  <c r="W42" i="3"/>
  <c r="AP40" i="6"/>
  <c r="AP39" i="6"/>
  <c r="AP67" i="6" s="1"/>
  <c r="AP38" i="6"/>
  <c r="AP37" i="6"/>
  <c r="AP36" i="6"/>
  <c r="AP35" i="6"/>
  <c r="AP34" i="6"/>
  <c r="AP33" i="6"/>
  <c r="AP32" i="6"/>
  <c r="AP31" i="6"/>
  <c r="AP30" i="6"/>
  <c r="AP29" i="6"/>
  <c r="AP28" i="6"/>
  <c r="AP27" i="6"/>
  <c r="AP26" i="6"/>
  <c r="AP25" i="6"/>
  <c r="AP24" i="6"/>
  <c r="AP23" i="6"/>
  <c r="AP22" i="6"/>
  <c r="AP21" i="6"/>
  <c r="AP20" i="6"/>
  <c r="AP19" i="6"/>
  <c r="AP18" i="6"/>
  <c r="AP17" i="6"/>
  <c r="AP16" i="6"/>
  <c r="AP15" i="6"/>
  <c r="AP14" i="6"/>
  <c r="AP13" i="6"/>
  <c r="AP12" i="6"/>
  <c r="AP11" i="6"/>
  <c r="AP10" i="6"/>
  <c r="AP9" i="6"/>
  <c r="AP8" i="6"/>
  <c r="AP7" i="6"/>
  <c r="AP6" i="6"/>
  <c r="AP5" i="6"/>
  <c r="AC43" i="3"/>
  <c r="AC44" i="3"/>
  <c r="AC45" i="3"/>
  <c r="AC46" i="3"/>
  <c r="AC47" i="3"/>
  <c r="AC48" i="3"/>
  <c r="AC49" i="3"/>
  <c r="AC50" i="3"/>
  <c r="AC51" i="3"/>
  <c r="AC52" i="3"/>
  <c r="AC53" i="3"/>
  <c r="AC4" i="3"/>
  <c r="AF41" i="3" l="1"/>
  <c r="AK41" i="3" s="1"/>
  <c r="A6" i="3"/>
  <c r="AD41" i="3"/>
  <c r="AE41" i="3" s="1"/>
  <c r="AL42" i="3"/>
  <c r="AL41" i="3"/>
  <c r="AD42" i="3"/>
  <c r="AI42" i="3" s="1"/>
  <c r="AF42" i="3"/>
  <c r="AP42" i="6"/>
  <c r="AP44" i="6"/>
  <c r="AP46" i="6"/>
  <c r="AP48" i="6"/>
  <c r="AP50" i="6"/>
  <c r="AP52" i="6"/>
  <c r="AP54" i="6"/>
  <c r="AP56" i="6"/>
  <c r="AP58" i="6"/>
  <c r="AP60" i="6"/>
  <c r="AP62" i="6"/>
  <c r="AP64" i="6"/>
  <c r="AP66" i="6"/>
  <c r="AP68" i="6"/>
  <c r="AP41" i="6"/>
  <c r="AP43" i="6"/>
  <c r="AP45" i="6"/>
  <c r="AP47" i="6"/>
  <c r="AP49" i="6"/>
  <c r="AP51" i="6"/>
  <c r="AP53" i="6"/>
  <c r="AP55" i="6"/>
  <c r="AP57" i="6"/>
  <c r="AP59" i="6"/>
  <c r="AP61" i="6"/>
  <c r="AP63" i="6"/>
  <c r="AP65" i="6"/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F13" i="11"/>
  <c r="AE42" i="3"/>
  <c r="AJ42" i="3"/>
  <c r="F49" i="11" s="1"/>
  <c r="K1335" i="11" s="1"/>
  <c r="AN42" i="3"/>
  <c r="AI41" i="3"/>
  <c r="AJ41" i="3" s="1"/>
  <c r="F48" i="11" s="1"/>
  <c r="AK42" i="3"/>
  <c r="AP99" i="6"/>
  <c r="AP97" i="6"/>
  <c r="AP95" i="6"/>
  <c r="AP93" i="6"/>
  <c r="AP91" i="6"/>
  <c r="AP89" i="6"/>
  <c r="AP87" i="6"/>
  <c r="AP85" i="6"/>
  <c r="AP83" i="6"/>
  <c r="AP81" i="6"/>
  <c r="AP79" i="6"/>
  <c r="AP77" i="6"/>
  <c r="AP75" i="6"/>
  <c r="AP73" i="6"/>
  <c r="AP71" i="6"/>
  <c r="AP69" i="6"/>
  <c r="AP98" i="6"/>
  <c r="AP96" i="6"/>
  <c r="AP94" i="6"/>
  <c r="AP92" i="6"/>
  <c r="AP90" i="6"/>
  <c r="AP88" i="6"/>
  <c r="AP86" i="6"/>
  <c r="AP84" i="6"/>
  <c r="AP82" i="6"/>
  <c r="AP80" i="6"/>
  <c r="AP78" i="6"/>
  <c r="AP76" i="6"/>
  <c r="AP74" i="6"/>
  <c r="AP72" i="6"/>
  <c r="AP70" i="6"/>
  <c r="AN41" i="3" l="1"/>
  <c r="AO42" i="3"/>
  <c r="AP129" i="6"/>
  <c r="AP127" i="6"/>
  <c r="AP125" i="6"/>
  <c r="AP123" i="6"/>
  <c r="AP121" i="6"/>
  <c r="AP119" i="6"/>
  <c r="AP117" i="6"/>
  <c r="AP115" i="6"/>
  <c r="AP113" i="6"/>
  <c r="AP111" i="6"/>
  <c r="AP109" i="6"/>
  <c r="AP107" i="6"/>
  <c r="AP105" i="6"/>
  <c r="AP103" i="6"/>
  <c r="AP101" i="6"/>
  <c r="AP128" i="6"/>
  <c r="AP126" i="6"/>
  <c r="AP124" i="6"/>
  <c r="AP122" i="6"/>
  <c r="AP120" i="6"/>
  <c r="AP118" i="6"/>
  <c r="AP116" i="6"/>
  <c r="AP114" i="6"/>
  <c r="AP112" i="6"/>
  <c r="AP110" i="6"/>
  <c r="AP108" i="6"/>
  <c r="AP106" i="6"/>
  <c r="AP104" i="6"/>
  <c r="AP102" i="6"/>
  <c r="AP100" i="6"/>
  <c r="AO41" i="3" l="1"/>
  <c r="AP159" i="6"/>
  <c r="AP157" i="6"/>
  <c r="AP155" i="6"/>
  <c r="AP153" i="6"/>
  <c r="AP151" i="6"/>
  <c r="AP149" i="6"/>
  <c r="AP147" i="6"/>
  <c r="AP145" i="6"/>
  <c r="AP143" i="6"/>
  <c r="AP141" i="6"/>
  <c r="AP139" i="6"/>
  <c r="AP137" i="6"/>
  <c r="AP135" i="6"/>
  <c r="AP133" i="6"/>
  <c r="AP131" i="6"/>
  <c r="AP160" i="6"/>
  <c r="AP158" i="6"/>
  <c r="AP156" i="6"/>
  <c r="AP154" i="6"/>
  <c r="AP152" i="6"/>
  <c r="AP150" i="6"/>
  <c r="AP148" i="6"/>
  <c r="AP146" i="6"/>
  <c r="AP144" i="6"/>
  <c r="AP142" i="6"/>
  <c r="AP140" i="6"/>
  <c r="AP138" i="6"/>
  <c r="AP136" i="6"/>
  <c r="AP134" i="6"/>
  <c r="AP132" i="6"/>
  <c r="AP130" i="6"/>
  <c r="AP189" i="6" l="1"/>
  <c r="AP187" i="6"/>
  <c r="AP185" i="6"/>
  <c r="AP183" i="6"/>
  <c r="AP181" i="6"/>
  <c r="AP179" i="6"/>
  <c r="AP177" i="6"/>
  <c r="AP175" i="6"/>
  <c r="AP173" i="6"/>
  <c r="AP171" i="6"/>
  <c r="AP169" i="6"/>
  <c r="AP167" i="6"/>
  <c r="AP165" i="6"/>
  <c r="AP163" i="6"/>
  <c r="AP161" i="6"/>
  <c r="AP190" i="6"/>
  <c r="AP188" i="6"/>
  <c r="AP186" i="6"/>
  <c r="AP184" i="6"/>
  <c r="AP182" i="6"/>
  <c r="AP180" i="6"/>
  <c r="AP178" i="6"/>
  <c r="AP176" i="6"/>
  <c r="AP174" i="6"/>
  <c r="AP172" i="6"/>
  <c r="AP170" i="6"/>
  <c r="AP168" i="6"/>
  <c r="AP166" i="6"/>
  <c r="AP164" i="6"/>
  <c r="AP162" i="6"/>
  <c r="AP221" i="6" l="1"/>
  <c r="AP219" i="6"/>
  <c r="AP217" i="6"/>
  <c r="AP215" i="6"/>
  <c r="AP213" i="6"/>
  <c r="AP211" i="6"/>
  <c r="AP209" i="6"/>
  <c r="AP207" i="6"/>
  <c r="AP205" i="6"/>
  <c r="AP203" i="6"/>
  <c r="AP201" i="6"/>
  <c r="AP220" i="6"/>
  <c r="AP218" i="6"/>
  <c r="AP216" i="6"/>
  <c r="AP214" i="6"/>
  <c r="AP212" i="6"/>
  <c r="AP210" i="6"/>
  <c r="AP208" i="6"/>
  <c r="AP206" i="6"/>
  <c r="AP204" i="6"/>
  <c r="AP202" i="6"/>
  <c r="AP200" i="6"/>
  <c r="AP199" i="6"/>
  <c r="AP197" i="6"/>
  <c r="AP195" i="6"/>
  <c r="AP193" i="6"/>
  <c r="AP191" i="6"/>
  <c r="AP198" i="6"/>
  <c r="AP196" i="6"/>
  <c r="AP194" i="6"/>
  <c r="AP192" i="6"/>
  <c r="AP251" i="6" l="1"/>
  <c r="AP249" i="6"/>
  <c r="AP247" i="6"/>
  <c r="AP245" i="6"/>
  <c r="AP243" i="6"/>
  <c r="AP241" i="6"/>
  <c r="AP239" i="6"/>
  <c r="AP237" i="6"/>
  <c r="AP235" i="6"/>
  <c r="AP233" i="6"/>
  <c r="AP231" i="6"/>
  <c r="AP229" i="6"/>
  <c r="AP227" i="6"/>
  <c r="AP225" i="6"/>
  <c r="AP223" i="6"/>
  <c r="AP252" i="6"/>
  <c r="AP250" i="6"/>
  <c r="AP248" i="6"/>
  <c r="AP246" i="6"/>
  <c r="AP244" i="6"/>
  <c r="AP242" i="6"/>
  <c r="AP240" i="6"/>
  <c r="AP238" i="6"/>
  <c r="AP236" i="6"/>
  <c r="AP234" i="6"/>
  <c r="AP232" i="6"/>
  <c r="AP230" i="6"/>
  <c r="AP228" i="6"/>
  <c r="AP226" i="6"/>
  <c r="AP224" i="6"/>
  <c r="AP222" i="6"/>
  <c r="AP281" i="6" l="1"/>
  <c r="AP279" i="6"/>
  <c r="AP277" i="6"/>
  <c r="AP275" i="6"/>
  <c r="AP273" i="6"/>
  <c r="AP271" i="6"/>
  <c r="AP269" i="6"/>
  <c r="AP267" i="6"/>
  <c r="AP265" i="6"/>
  <c r="AP263" i="6"/>
  <c r="AP261" i="6"/>
  <c r="AP259" i="6"/>
  <c r="AP257" i="6"/>
  <c r="AP255" i="6"/>
  <c r="AP253" i="6"/>
  <c r="AP282" i="6"/>
  <c r="AP280" i="6"/>
  <c r="AP278" i="6"/>
  <c r="AP276" i="6"/>
  <c r="AP274" i="6"/>
  <c r="AP272" i="6"/>
  <c r="AP270" i="6"/>
  <c r="AP268" i="6"/>
  <c r="AP266" i="6"/>
  <c r="AP264" i="6"/>
  <c r="AP262" i="6"/>
  <c r="AP260" i="6"/>
  <c r="AP258" i="6"/>
  <c r="AP256" i="6"/>
  <c r="AP254" i="6"/>
  <c r="AP313" i="6" l="1"/>
  <c r="AP311" i="6"/>
  <c r="AP309" i="6"/>
  <c r="AP307" i="6"/>
  <c r="AP305" i="6"/>
  <c r="AP303" i="6"/>
  <c r="AP301" i="6"/>
  <c r="AP299" i="6"/>
  <c r="AP297" i="6"/>
  <c r="AP295" i="6"/>
  <c r="AP293" i="6"/>
  <c r="AP291" i="6"/>
  <c r="AP289" i="6"/>
  <c r="AP287" i="6"/>
  <c r="AP285" i="6"/>
  <c r="AP283" i="6"/>
  <c r="AP312" i="6"/>
  <c r="AP310" i="6"/>
  <c r="AP308" i="6"/>
  <c r="AP306" i="6"/>
  <c r="AP304" i="6"/>
  <c r="AP302" i="6"/>
  <c r="AP300" i="6"/>
  <c r="AP298" i="6"/>
  <c r="AP296" i="6"/>
  <c r="AP294" i="6"/>
  <c r="AP292" i="6"/>
  <c r="AP290" i="6"/>
  <c r="AP288" i="6"/>
  <c r="AP286" i="6"/>
  <c r="AP284" i="6"/>
  <c r="AP343" i="6" l="1"/>
  <c r="AP341" i="6"/>
  <c r="AP339" i="6"/>
  <c r="AP337" i="6"/>
  <c r="AP335" i="6"/>
  <c r="AP333" i="6"/>
  <c r="AP331" i="6"/>
  <c r="AP329" i="6"/>
  <c r="AP327" i="6"/>
  <c r="AP325" i="6"/>
  <c r="AP323" i="6"/>
  <c r="AP321" i="6"/>
  <c r="AP319" i="6"/>
  <c r="AP317" i="6"/>
  <c r="AP315" i="6"/>
  <c r="AP342" i="6"/>
  <c r="AP340" i="6"/>
  <c r="AP338" i="6"/>
  <c r="AP336" i="6"/>
  <c r="AP334" i="6"/>
  <c r="AP332" i="6"/>
  <c r="AP330" i="6"/>
  <c r="AP328" i="6"/>
  <c r="AP326" i="6"/>
  <c r="AP324" i="6"/>
  <c r="AP322" i="6"/>
  <c r="AP320" i="6"/>
  <c r="AP318" i="6"/>
  <c r="AP316" i="6"/>
  <c r="AP314" i="6"/>
  <c r="AP369" i="6" l="1"/>
  <c r="AP367" i="6"/>
  <c r="AP365" i="6"/>
  <c r="AP363" i="6"/>
  <c r="AP361" i="6"/>
  <c r="AP359" i="6"/>
  <c r="AP357" i="6"/>
  <c r="AP355" i="6"/>
  <c r="AP353" i="6"/>
  <c r="AP351" i="6"/>
  <c r="AP349" i="6"/>
  <c r="AP347" i="6"/>
  <c r="AP345" i="6"/>
  <c r="AP368" i="6"/>
  <c r="AP366" i="6"/>
  <c r="AP364" i="6"/>
  <c r="AP362" i="6"/>
  <c r="AP360" i="6"/>
  <c r="AP358" i="6"/>
  <c r="AP356" i="6"/>
  <c r="AP354" i="6"/>
  <c r="AP352" i="6"/>
  <c r="AP350" i="6"/>
  <c r="AP348" i="6"/>
  <c r="AP346" i="6"/>
  <c r="AP344" i="6"/>
  <c r="U43" i="3" l="1"/>
  <c r="V43" i="3"/>
  <c r="AB43" i="3" s="1"/>
  <c r="U44" i="3"/>
  <c r="V44" i="3"/>
  <c r="AB44" i="3" s="1"/>
  <c r="U45" i="3"/>
  <c r="V45" i="3"/>
  <c r="AB45" i="3" s="1"/>
  <c r="U46" i="3"/>
  <c r="V46" i="3"/>
  <c r="AB46" i="3" s="1"/>
  <c r="U47" i="3"/>
  <c r="V47" i="3"/>
  <c r="AB47" i="3" s="1"/>
  <c r="U48" i="3"/>
  <c r="V48" i="3"/>
  <c r="AB48" i="3" s="1"/>
  <c r="U49" i="3"/>
  <c r="V49" i="3"/>
  <c r="AB49" i="3" s="1"/>
  <c r="U50" i="3"/>
  <c r="V50" i="3"/>
  <c r="AB50" i="3" s="1"/>
  <c r="U51" i="3"/>
  <c r="V51" i="3"/>
  <c r="AB51" i="3" s="1"/>
  <c r="U52" i="3"/>
  <c r="V52" i="3"/>
  <c r="AB52" i="3" s="1"/>
  <c r="U53" i="3"/>
  <c r="V53" i="3"/>
  <c r="AB53" i="3" s="1"/>
  <c r="W53" i="3" l="1"/>
  <c r="AA53" i="3"/>
  <c r="W52" i="3"/>
  <c r="AA52" i="3"/>
  <c r="W51" i="3"/>
  <c r="AA51" i="3"/>
  <c r="W50" i="3"/>
  <c r="AA50" i="3"/>
  <c r="W49" i="3"/>
  <c r="AA49" i="3"/>
  <c r="W48" i="3"/>
  <c r="AA48" i="3"/>
  <c r="W47" i="3"/>
  <c r="AA47" i="3"/>
  <c r="W46" i="3"/>
  <c r="AA46" i="3"/>
  <c r="W45" i="3"/>
  <c r="AA45" i="3"/>
  <c r="W44" i="3"/>
  <c r="AA44" i="3"/>
  <c r="W43" i="3"/>
  <c r="AA43" i="3"/>
  <c r="BI11" i="6"/>
  <c r="BI10" i="6"/>
  <c r="BI9" i="6"/>
  <c r="BI8" i="6"/>
  <c r="BI7" i="6"/>
  <c r="BI6" i="6"/>
  <c r="BD106" i="6"/>
  <c r="BD107" i="6"/>
  <c r="BD108" i="6"/>
  <c r="BD109" i="6"/>
  <c r="BD110" i="6"/>
  <c r="BD111" i="6"/>
  <c r="BD112" i="6"/>
  <c r="BD113" i="6"/>
  <c r="BD114" i="6"/>
  <c r="BD115" i="6"/>
  <c r="BD116" i="6"/>
  <c r="BD117" i="6"/>
  <c r="BD118" i="6"/>
  <c r="BD119" i="6"/>
  <c r="BD120" i="6"/>
  <c r="BD121" i="6"/>
  <c r="BD122" i="6"/>
  <c r="BD123" i="6"/>
  <c r="BD124" i="6"/>
  <c r="BD125" i="6"/>
  <c r="BD126" i="6"/>
  <c r="BD127" i="6"/>
  <c r="BD128" i="6"/>
  <c r="BD129" i="6"/>
  <c r="BD130" i="6"/>
  <c r="BD131" i="6"/>
  <c r="BD132" i="6"/>
  <c r="BD133" i="6"/>
  <c r="BD134" i="6"/>
  <c r="BJ53" i="6"/>
  <c r="BJ39" i="6"/>
  <c r="BI53" i="6"/>
  <c r="BI39" i="6"/>
  <c r="BF53" i="6"/>
  <c r="BF39" i="6"/>
  <c r="U4" i="3" l="1"/>
  <c r="V4" i="3"/>
  <c r="AB4" i="3" s="1"/>
  <c r="AD43" i="3"/>
  <c r="AE43" i="3" s="1"/>
  <c r="AD44" i="3"/>
  <c r="AE44" i="3" s="1"/>
  <c r="AD45" i="3"/>
  <c r="AE45" i="3" s="1"/>
  <c r="AD46" i="3"/>
  <c r="AE46" i="3" s="1"/>
  <c r="AD47" i="3"/>
  <c r="AE47" i="3" s="1"/>
  <c r="AD48" i="3"/>
  <c r="AE48" i="3" s="1"/>
  <c r="AD49" i="3"/>
  <c r="AE49" i="3" s="1"/>
  <c r="AD50" i="3"/>
  <c r="AE50" i="3" s="1"/>
  <c r="AD51" i="3"/>
  <c r="AE51" i="3" s="1"/>
  <c r="AD52" i="3"/>
  <c r="AE52" i="3" s="1"/>
  <c r="AD53" i="3"/>
  <c r="AE53" i="3" s="1"/>
  <c r="BE53" i="6"/>
  <c r="BE39" i="6"/>
  <c r="BI29" i="6"/>
  <c r="BJ29" i="6"/>
  <c r="BJ28" i="6"/>
  <c r="BJ27" i="6"/>
  <c r="BJ26" i="6"/>
  <c r="BI28" i="6"/>
  <c r="BI27" i="6"/>
  <c r="BI26" i="6"/>
  <c r="W4" i="3" l="1"/>
  <c r="AD4" i="3" s="1"/>
  <c r="AI4" i="3" s="1"/>
  <c r="AA4" i="3"/>
  <c r="BF28" i="6"/>
  <c r="BF26" i="6"/>
  <c r="BE26" i="6"/>
  <c r="BF27" i="6"/>
  <c r="BF32" i="6"/>
  <c r="BF31" i="6"/>
  <c r="BF30" i="6"/>
  <c r="BF37" i="6"/>
  <c r="BF36" i="6"/>
  <c r="BF35" i="6"/>
  <c r="BF34" i="6"/>
  <c r="BJ31" i="6"/>
  <c r="BJ32" i="6"/>
  <c r="BJ33" i="6"/>
  <c r="BJ30" i="6"/>
  <c r="BJ35" i="6"/>
  <c r="BJ36" i="6"/>
  <c r="BJ37" i="6"/>
  <c r="BJ34" i="6"/>
  <c r="BI31" i="6"/>
  <c r="BI32" i="6"/>
  <c r="BI33" i="6"/>
  <c r="BI30" i="6"/>
  <c r="BI35" i="6"/>
  <c r="BI36" i="6"/>
  <c r="BI37" i="6"/>
  <c r="BI34" i="6"/>
  <c r="BF33" i="6"/>
  <c r="BE33" i="6"/>
  <c r="BE31" i="6"/>
  <c r="BE30" i="6"/>
  <c r="BE37" i="6"/>
  <c r="BE36" i="6"/>
  <c r="BF51" i="6"/>
  <c r="BF50" i="6"/>
  <c r="BF49" i="6"/>
  <c r="BF48" i="6"/>
  <c r="BF52" i="6"/>
  <c r="BF47" i="6"/>
  <c r="BF46" i="6"/>
  <c r="BF45" i="6"/>
  <c r="BF44" i="6"/>
  <c r="BF43" i="6"/>
  <c r="BF42" i="6"/>
  <c r="BF38" i="6"/>
  <c r="BJ43" i="6"/>
  <c r="BJ44" i="6"/>
  <c r="BJ45" i="6"/>
  <c r="BJ46" i="6"/>
  <c r="BJ47" i="6"/>
  <c r="BJ52" i="6"/>
  <c r="BJ48" i="6"/>
  <c r="BJ49" i="6"/>
  <c r="BJ50" i="6"/>
  <c r="BJ51" i="6"/>
  <c r="BJ42" i="6"/>
  <c r="BJ38" i="6"/>
  <c r="BI45" i="6"/>
  <c r="BI46" i="6"/>
  <c r="BI47" i="6"/>
  <c r="BI52" i="6"/>
  <c r="BI48" i="6"/>
  <c r="BI49" i="6"/>
  <c r="BI50" i="6"/>
  <c r="BI51" i="6"/>
  <c r="BE51" i="6"/>
  <c r="BE50" i="6"/>
  <c r="BE49" i="6"/>
  <c r="BE48" i="6"/>
  <c r="BE52" i="6"/>
  <c r="BE47" i="6"/>
  <c r="BE46" i="6"/>
  <c r="BE45" i="6"/>
  <c r="BI44" i="6"/>
  <c r="BE44" i="6"/>
  <c r="BI43" i="6"/>
  <c r="BE43" i="6"/>
  <c r="BI42" i="6"/>
  <c r="BI38" i="6"/>
  <c r="BE42" i="6"/>
  <c r="BE38" i="6"/>
  <c r="BJ25" i="6"/>
  <c r="BI25" i="6"/>
  <c r="BF25" i="6"/>
  <c r="BE25" i="6"/>
  <c r="AE4" i="3" l="1"/>
  <c r="DH52" i="3"/>
  <c r="DG52" i="3"/>
  <c r="FN52" i="3"/>
  <c r="FM52" i="3"/>
  <c r="FL52" i="3"/>
  <c r="FK52" i="3"/>
  <c r="FJ52" i="3"/>
  <c r="FI52" i="3"/>
  <c r="FH52" i="3"/>
  <c r="FG52" i="3"/>
  <c r="FF52" i="3"/>
  <c r="FE52" i="3"/>
  <c r="FD52" i="3"/>
  <c r="FC52" i="3"/>
  <c r="FB52" i="3"/>
  <c r="FA52" i="3"/>
  <c r="EZ52" i="3"/>
  <c r="EY52" i="3"/>
  <c r="EX52" i="3"/>
  <c r="EW52" i="3"/>
  <c r="EV52" i="3"/>
  <c r="EU52" i="3"/>
  <c r="ET52" i="3"/>
  <c r="ES52" i="3"/>
  <c r="ER52" i="3"/>
  <c r="EQ52" i="3"/>
  <c r="EP52" i="3"/>
  <c r="EO52" i="3"/>
  <c r="EN52" i="3"/>
  <c r="EM52" i="3"/>
  <c r="EL52" i="3"/>
  <c r="EK52" i="3"/>
  <c r="EJ52" i="3"/>
  <c r="EI52" i="3"/>
  <c r="EH52" i="3"/>
  <c r="EG52" i="3"/>
  <c r="EF52" i="3"/>
  <c r="EE52" i="3"/>
  <c r="ED52" i="3"/>
  <c r="EC52" i="3"/>
  <c r="EB52" i="3"/>
  <c r="EA52" i="3"/>
  <c r="DZ52" i="3"/>
  <c r="DY52" i="3"/>
  <c r="AH52" i="3"/>
  <c r="AM52" i="3" s="1"/>
  <c r="T52" i="3"/>
  <c r="O52" i="3"/>
  <c r="DH51" i="3"/>
  <c r="DG51" i="3"/>
  <c r="FN51" i="3"/>
  <c r="FM51" i="3"/>
  <c r="FL51" i="3"/>
  <c r="FK51" i="3"/>
  <c r="FJ51" i="3"/>
  <c r="FI51" i="3"/>
  <c r="FH51" i="3"/>
  <c r="FG51" i="3"/>
  <c r="FF51" i="3"/>
  <c r="FE51" i="3"/>
  <c r="FD51" i="3"/>
  <c r="FC51" i="3"/>
  <c r="FB51" i="3"/>
  <c r="FA51" i="3"/>
  <c r="EZ51" i="3"/>
  <c r="EY51" i="3"/>
  <c r="EX51" i="3"/>
  <c r="EW51" i="3"/>
  <c r="EV51" i="3"/>
  <c r="EU51" i="3"/>
  <c r="ET51" i="3"/>
  <c r="ES51" i="3"/>
  <c r="ER51" i="3"/>
  <c r="EQ51" i="3"/>
  <c r="EP51" i="3"/>
  <c r="EO51" i="3"/>
  <c r="EN51" i="3"/>
  <c r="EM51" i="3"/>
  <c r="EL51" i="3"/>
  <c r="EK51" i="3"/>
  <c r="EJ51" i="3"/>
  <c r="EI51" i="3"/>
  <c r="EH51" i="3"/>
  <c r="EG51" i="3"/>
  <c r="EF51" i="3"/>
  <c r="EE51" i="3"/>
  <c r="ED51" i="3"/>
  <c r="EC51" i="3"/>
  <c r="EB51" i="3"/>
  <c r="EA51" i="3"/>
  <c r="DZ51" i="3"/>
  <c r="DY51" i="3"/>
  <c r="AH51" i="3"/>
  <c r="AM51" i="3" s="1"/>
  <c r="T51" i="3"/>
  <c r="O51" i="3"/>
  <c r="DH50" i="3"/>
  <c r="DG50" i="3"/>
  <c r="FN50" i="3"/>
  <c r="FM50" i="3"/>
  <c r="FL50" i="3"/>
  <c r="FK50" i="3"/>
  <c r="FJ50" i="3"/>
  <c r="FI50" i="3"/>
  <c r="FH50" i="3"/>
  <c r="FG50" i="3"/>
  <c r="FF50" i="3"/>
  <c r="FE50" i="3"/>
  <c r="FD50" i="3"/>
  <c r="FC50" i="3"/>
  <c r="FB50" i="3"/>
  <c r="FA50" i="3"/>
  <c r="EZ50" i="3"/>
  <c r="EY50" i="3"/>
  <c r="EX50" i="3"/>
  <c r="EW50" i="3"/>
  <c r="EV50" i="3"/>
  <c r="EU50" i="3"/>
  <c r="ET50" i="3"/>
  <c r="ES50" i="3"/>
  <c r="ER50" i="3"/>
  <c r="EQ50" i="3"/>
  <c r="EP50" i="3"/>
  <c r="EO50" i="3"/>
  <c r="EN50" i="3"/>
  <c r="EM50" i="3"/>
  <c r="EL50" i="3"/>
  <c r="EK50" i="3"/>
  <c r="EJ50" i="3"/>
  <c r="EI50" i="3"/>
  <c r="EH50" i="3"/>
  <c r="EG50" i="3"/>
  <c r="EF50" i="3"/>
  <c r="EE50" i="3"/>
  <c r="ED50" i="3"/>
  <c r="EC50" i="3"/>
  <c r="EB50" i="3"/>
  <c r="EA50" i="3"/>
  <c r="DZ50" i="3"/>
  <c r="DY50" i="3"/>
  <c r="AH50" i="3"/>
  <c r="AM50" i="3" s="1"/>
  <c r="T50" i="3"/>
  <c r="O50" i="3"/>
  <c r="DH49" i="3"/>
  <c r="DG49" i="3"/>
  <c r="FN49" i="3"/>
  <c r="FM49" i="3"/>
  <c r="FL49" i="3"/>
  <c r="FK49" i="3"/>
  <c r="FJ49" i="3"/>
  <c r="FI49" i="3"/>
  <c r="FH49" i="3"/>
  <c r="FG49" i="3"/>
  <c r="FF49" i="3"/>
  <c r="FE49" i="3"/>
  <c r="FD49" i="3"/>
  <c r="FC49" i="3"/>
  <c r="FB49" i="3"/>
  <c r="FA49" i="3"/>
  <c r="EZ49" i="3"/>
  <c r="EY49" i="3"/>
  <c r="EX49" i="3"/>
  <c r="EW49" i="3"/>
  <c r="EV49" i="3"/>
  <c r="EU49" i="3"/>
  <c r="ET49" i="3"/>
  <c r="ES49" i="3"/>
  <c r="ER49" i="3"/>
  <c r="EQ49" i="3"/>
  <c r="EP49" i="3"/>
  <c r="EO49" i="3"/>
  <c r="EN49" i="3"/>
  <c r="EM49" i="3"/>
  <c r="EL49" i="3"/>
  <c r="EK49" i="3"/>
  <c r="EJ49" i="3"/>
  <c r="EI49" i="3"/>
  <c r="EH49" i="3"/>
  <c r="EG49" i="3"/>
  <c r="EF49" i="3"/>
  <c r="EE49" i="3"/>
  <c r="ED49" i="3"/>
  <c r="EC49" i="3"/>
  <c r="EB49" i="3"/>
  <c r="EA49" i="3"/>
  <c r="DZ49" i="3"/>
  <c r="DY49" i="3"/>
  <c r="AH49" i="3"/>
  <c r="AM49" i="3" s="1"/>
  <c r="AG49" i="3"/>
  <c r="AL49" i="3" s="1"/>
  <c r="T49" i="3"/>
  <c r="O49" i="3"/>
  <c r="DH48" i="3"/>
  <c r="DG48" i="3"/>
  <c r="FN48" i="3"/>
  <c r="FM48" i="3"/>
  <c r="FL48" i="3"/>
  <c r="FK48" i="3"/>
  <c r="FJ48" i="3"/>
  <c r="FI48" i="3"/>
  <c r="FH48" i="3"/>
  <c r="FG48" i="3"/>
  <c r="FF48" i="3"/>
  <c r="FE48" i="3"/>
  <c r="FD48" i="3"/>
  <c r="FC48" i="3"/>
  <c r="FB48" i="3"/>
  <c r="FA48" i="3"/>
  <c r="EZ48" i="3"/>
  <c r="EY48" i="3"/>
  <c r="EX48" i="3"/>
  <c r="EW48" i="3"/>
  <c r="EV48" i="3"/>
  <c r="EU48" i="3"/>
  <c r="ET48" i="3"/>
  <c r="ES48" i="3"/>
  <c r="ER48" i="3"/>
  <c r="EQ48" i="3"/>
  <c r="EP48" i="3"/>
  <c r="EO48" i="3"/>
  <c r="EN48" i="3"/>
  <c r="EM48" i="3"/>
  <c r="EL48" i="3"/>
  <c r="EK48" i="3"/>
  <c r="EJ48" i="3"/>
  <c r="EI48" i="3"/>
  <c r="EH48" i="3"/>
  <c r="EG48" i="3"/>
  <c r="EF48" i="3"/>
  <c r="EE48" i="3"/>
  <c r="ED48" i="3"/>
  <c r="EC48" i="3"/>
  <c r="EB48" i="3"/>
  <c r="EA48" i="3"/>
  <c r="DZ48" i="3"/>
  <c r="DY48" i="3"/>
  <c r="AH48" i="3"/>
  <c r="AM48" i="3" s="1"/>
  <c r="T48" i="3"/>
  <c r="O48" i="3"/>
  <c r="DH47" i="3"/>
  <c r="DG47" i="3"/>
  <c r="FN47" i="3"/>
  <c r="FM47" i="3"/>
  <c r="FL47" i="3"/>
  <c r="FK47" i="3"/>
  <c r="FJ47" i="3"/>
  <c r="FI47" i="3"/>
  <c r="FH47" i="3"/>
  <c r="FG47" i="3"/>
  <c r="FF47" i="3"/>
  <c r="FE47" i="3"/>
  <c r="FD47" i="3"/>
  <c r="FC47" i="3"/>
  <c r="FB47" i="3"/>
  <c r="FA47" i="3"/>
  <c r="EZ47" i="3"/>
  <c r="EY47" i="3"/>
  <c r="EX47" i="3"/>
  <c r="EW47" i="3"/>
  <c r="EV47" i="3"/>
  <c r="EU47" i="3"/>
  <c r="ET47" i="3"/>
  <c r="ES47" i="3"/>
  <c r="ER47" i="3"/>
  <c r="EQ47" i="3"/>
  <c r="EP47" i="3"/>
  <c r="EO47" i="3"/>
  <c r="EN47" i="3"/>
  <c r="EM47" i="3"/>
  <c r="EL47" i="3"/>
  <c r="EK47" i="3"/>
  <c r="EJ47" i="3"/>
  <c r="EI47" i="3"/>
  <c r="EH47" i="3"/>
  <c r="EG47" i="3"/>
  <c r="EF47" i="3"/>
  <c r="EE47" i="3"/>
  <c r="ED47" i="3"/>
  <c r="EC47" i="3"/>
  <c r="EB47" i="3"/>
  <c r="EA47" i="3"/>
  <c r="DZ47" i="3"/>
  <c r="DY47" i="3"/>
  <c r="AH47" i="3"/>
  <c r="AM47" i="3" s="1"/>
  <c r="AG47" i="3"/>
  <c r="AL47" i="3" s="1"/>
  <c r="T47" i="3"/>
  <c r="O47" i="3"/>
  <c r="DH46" i="3"/>
  <c r="DG46" i="3"/>
  <c r="FN46" i="3"/>
  <c r="FM46" i="3"/>
  <c r="FL46" i="3"/>
  <c r="FK46" i="3"/>
  <c r="FJ46" i="3"/>
  <c r="FI46" i="3"/>
  <c r="FH46" i="3"/>
  <c r="FG46" i="3"/>
  <c r="FF46" i="3"/>
  <c r="FE46" i="3"/>
  <c r="FD46" i="3"/>
  <c r="FC46" i="3"/>
  <c r="FB46" i="3"/>
  <c r="FA46" i="3"/>
  <c r="EZ46" i="3"/>
  <c r="EY46" i="3"/>
  <c r="EX46" i="3"/>
  <c r="EW46" i="3"/>
  <c r="EV46" i="3"/>
  <c r="EU46" i="3"/>
  <c r="ET46" i="3"/>
  <c r="ES46" i="3"/>
  <c r="ER46" i="3"/>
  <c r="EQ46" i="3"/>
  <c r="EP46" i="3"/>
  <c r="EO46" i="3"/>
  <c r="EN46" i="3"/>
  <c r="EM46" i="3"/>
  <c r="EL46" i="3"/>
  <c r="EK46" i="3"/>
  <c r="EJ46" i="3"/>
  <c r="EI46" i="3"/>
  <c r="EH46" i="3"/>
  <c r="EG46" i="3"/>
  <c r="EF46" i="3"/>
  <c r="EE46" i="3"/>
  <c r="ED46" i="3"/>
  <c r="EC46" i="3"/>
  <c r="EB46" i="3"/>
  <c r="EA46" i="3"/>
  <c r="DZ46" i="3"/>
  <c r="DY46" i="3"/>
  <c r="AH46" i="3"/>
  <c r="AM46" i="3" s="1"/>
  <c r="T46" i="3"/>
  <c r="O46" i="3"/>
  <c r="DH45" i="3"/>
  <c r="DG45" i="3"/>
  <c r="FN45" i="3"/>
  <c r="FM45" i="3"/>
  <c r="FL45" i="3"/>
  <c r="FK45" i="3"/>
  <c r="FJ45" i="3"/>
  <c r="FI45" i="3"/>
  <c r="FH45" i="3"/>
  <c r="FG45" i="3"/>
  <c r="FF45" i="3"/>
  <c r="FE45" i="3"/>
  <c r="FD45" i="3"/>
  <c r="FC45" i="3"/>
  <c r="FB45" i="3"/>
  <c r="FA45" i="3"/>
  <c r="EZ45" i="3"/>
  <c r="EY45" i="3"/>
  <c r="EX45" i="3"/>
  <c r="EW45" i="3"/>
  <c r="EV45" i="3"/>
  <c r="EU45" i="3"/>
  <c r="ET45" i="3"/>
  <c r="ES45" i="3"/>
  <c r="ER45" i="3"/>
  <c r="EQ45" i="3"/>
  <c r="EP45" i="3"/>
  <c r="EO45" i="3"/>
  <c r="EN45" i="3"/>
  <c r="EM45" i="3"/>
  <c r="EL45" i="3"/>
  <c r="EK45" i="3"/>
  <c r="EJ45" i="3"/>
  <c r="EI45" i="3"/>
  <c r="EH45" i="3"/>
  <c r="EG45" i="3"/>
  <c r="EF45" i="3"/>
  <c r="EE45" i="3"/>
  <c r="ED45" i="3"/>
  <c r="EC45" i="3"/>
  <c r="EB45" i="3"/>
  <c r="EA45" i="3"/>
  <c r="DZ45" i="3"/>
  <c r="DY45" i="3"/>
  <c r="AH45" i="3"/>
  <c r="AM45" i="3" s="1"/>
  <c r="T45" i="3"/>
  <c r="O45" i="3"/>
  <c r="DH44" i="3"/>
  <c r="DG44" i="3"/>
  <c r="FN44" i="3"/>
  <c r="FM44" i="3"/>
  <c r="FL44" i="3"/>
  <c r="FK44" i="3"/>
  <c r="FJ44" i="3"/>
  <c r="FI44" i="3"/>
  <c r="FH44" i="3"/>
  <c r="FG44" i="3"/>
  <c r="FF44" i="3"/>
  <c r="FE44" i="3"/>
  <c r="FD44" i="3"/>
  <c r="FC44" i="3"/>
  <c r="FB44" i="3"/>
  <c r="FA44" i="3"/>
  <c r="EZ44" i="3"/>
  <c r="EY44" i="3"/>
  <c r="EX44" i="3"/>
  <c r="EW44" i="3"/>
  <c r="EV44" i="3"/>
  <c r="EU44" i="3"/>
  <c r="ET44" i="3"/>
  <c r="ES44" i="3"/>
  <c r="ER44" i="3"/>
  <c r="EQ44" i="3"/>
  <c r="EP44" i="3"/>
  <c r="EO44" i="3"/>
  <c r="EN44" i="3"/>
  <c r="EM44" i="3"/>
  <c r="EL44" i="3"/>
  <c r="EK44" i="3"/>
  <c r="EJ44" i="3"/>
  <c r="EI44" i="3"/>
  <c r="EH44" i="3"/>
  <c r="EG44" i="3"/>
  <c r="EF44" i="3"/>
  <c r="EE44" i="3"/>
  <c r="ED44" i="3"/>
  <c r="EC44" i="3"/>
  <c r="EB44" i="3"/>
  <c r="EA44" i="3"/>
  <c r="DZ44" i="3"/>
  <c r="DY44" i="3"/>
  <c r="AH44" i="3"/>
  <c r="AM44" i="3" s="1"/>
  <c r="T44" i="3"/>
  <c r="O44" i="3"/>
  <c r="DH43" i="3"/>
  <c r="DG43" i="3"/>
  <c r="FN43" i="3"/>
  <c r="FM43" i="3"/>
  <c r="FL43" i="3"/>
  <c r="FK43" i="3"/>
  <c r="FJ43" i="3"/>
  <c r="FI43" i="3"/>
  <c r="FH43" i="3"/>
  <c r="FG43" i="3"/>
  <c r="FF43" i="3"/>
  <c r="FE43" i="3"/>
  <c r="FD43" i="3"/>
  <c r="FC43" i="3"/>
  <c r="FB43" i="3"/>
  <c r="FA43" i="3"/>
  <c r="EZ43" i="3"/>
  <c r="EY43" i="3"/>
  <c r="EX43" i="3"/>
  <c r="EW43" i="3"/>
  <c r="EV43" i="3"/>
  <c r="EU43" i="3"/>
  <c r="ET43" i="3"/>
  <c r="ES43" i="3"/>
  <c r="ER43" i="3"/>
  <c r="EQ43" i="3"/>
  <c r="EP43" i="3"/>
  <c r="EO43" i="3"/>
  <c r="EN43" i="3"/>
  <c r="EM43" i="3"/>
  <c r="EL43" i="3"/>
  <c r="EK43" i="3"/>
  <c r="EJ43" i="3"/>
  <c r="EI43" i="3"/>
  <c r="EH43" i="3"/>
  <c r="EG43" i="3"/>
  <c r="EF43" i="3"/>
  <c r="EE43" i="3"/>
  <c r="ED43" i="3"/>
  <c r="EC43" i="3"/>
  <c r="EB43" i="3"/>
  <c r="EA43" i="3"/>
  <c r="DZ43" i="3"/>
  <c r="DY43" i="3"/>
  <c r="AH43" i="3"/>
  <c r="AM43" i="3" s="1"/>
  <c r="T43" i="3"/>
  <c r="O43" i="3"/>
  <c r="DH4" i="3"/>
  <c r="DG4" i="3"/>
  <c r="FN4" i="3"/>
  <c r="FM4" i="3"/>
  <c r="FL4" i="3"/>
  <c r="FK4" i="3"/>
  <c r="FJ4" i="3"/>
  <c r="FI4" i="3"/>
  <c r="FH4" i="3"/>
  <c r="FG4" i="3"/>
  <c r="FF4" i="3"/>
  <c r="FE4" i="3"/>
  <c r="FD4" i="3"/>
  <c r="FC4" i="3"/>
  <c r="FB4" i="3"/>
  <c r="DW4" i="3" s="1"/>
  <c r="FA4" i="3"/>
  <c r="EZ4" i="3"/>
  <c r="EY4" i="3"/>
  <c r="EX4" i="3"/>
  <c r="EW4" i="3"/>
  <c r="EV4" i="3"/>
  <c r="DV4" i="3" s="1"/>
  <c r="EU4" i="3"/>
  <c r="ET4" i="3"/>
  <c r="ES4" i="3"/>
  <c r="ER4" i="3"/>
  <c r="EQ4" i="3"/>
  <c r="EP4" i="3"/>
  <c r="EO4" i="3"/>
  <c r="EN4" i="3"/>
  <c r="EM4" i="3"/>
  <c r="DT4" i="3" s="1"/>
  <c r="EL4" i="3"/>
  <c r="EK4" i="3"/>
  <c r="EJ4" i="3"/>
  <c r="EI4" i="3"/>
  <c r="EH4" i="3"/>
  <c r="EG4" i="3"/>
  <c r="EF4" i="3"/>
  <c r="EE4" i="3"/>
  <c r="ED4" i="3"/>
  <c r="EC4" i="3"/>
  <c r="EB4" i="3"/>
  <c r="EA4" i="3"/>
  <c r="DZ4" i="3"/>
  <c r="DY4" i="3"/>
  <c r="DM4" i="3"/>
  <c r="AH4" i="3"/>
  <c r="AM4" i="3" s="1"/>
  <c r="T4" i="3"/>
  <c r="O4" i="3"/>
  <c r="DP4" i="3" l="1"/>
  <c r="DN4" i="3"/>
  <c r="DQ4" i="3"/>
  <c r="DU4" i="3"/>
  <c r="DS4" i="3"/>
  <c r="DL4" i="3"/>
  <c r="DR4" i="3"/>
  <c r="DO4" i="3"/>
  <c r="AF43" i="3"/>
  <c r="AK43" i="3" s="1"/>
  <c r="AF45" i="3"/>
  <c r="AK45" i="3" s="1"/>
  <c r="AF4" i="3"/>
  <c r="AK4" i="3" s="1"/>
  <c r="AF44" i="3"/>
  <c r="AK44" i="3" s="1"/>
  <c r="AG4" i="3"/>
  <c r="AL4" i="3" s="1"/>
  <c r="AG44" i="3"/>
  <c r="AL44" i="3" s="1"/>
  <c r="AG46" i="3"/>
  <c r="AL46" i="3" s="1"/>
  <c r="AF46" i="3"/>
  <c r="AK46" i="3" s="1"/>
  <c r="AF47" i="3"/>
  <c r="AK47" i="3" s="1"/>
  <c r="AG48" i="3"/>
  <c r="AL48" i="3" s="1"/>
  <c r="AF49" i="3"/>
  <c r="AK49" i="3" s="1"/>
  <c r="AF50" i="3"/>
  <c r="AK50" i="3" s="1"/>
  <c r="AG50" i="3"/>
  <c r="AL50" i="3" s="1"/>
  <c r="AG51" i="3"/>
  <c r="AL51" i="3" s="1"/>
  <c r="AF51" i="3"/>
  <c r="AK51" i="3" s="1"/>
  <c r="AG52" i="3"/>
  <c r="AL52" i="3" s="1"/>
  <c r="AF52" i="3"/>
  <c r="AK52" i="3" s="1"/>
  <c r="AN4" i="3" l="1"/>
  <c r="AI51" i="3"/>
  <c r="AN51" i="3" s="1"/>
  <c r="AI48" i="3"/>
  <c r="AN48" i="3" s="1"/>
  <c r="AI47" i="3"/>
  <c r="AN47" i="3" s="1"/>
  <c r="AI52" i="3"/>
  <c r="AN52" i="3" s="1"/>
  <c r="AI50" i="3"/>
  <c r="AN50" i="3" s="1"/>
  <c r="AI49" i="3"/>
  <c r="AN49" i="3" s="1"/>
  <c r="AI46" i="3"/>
  <c r="AN46" i="3" s="1"/>
  <c r="AI45" i="3"/>
  <c r="AN45" i="3" s="1"/>
  <c r="AI44" i="3"/>
  <c r="AN44" i="3" s="1"/>
  <c r="AI43" i="3"/>
  <c r="AN43" i="3" s="1"/>
  <c r="AF48" i="3"/>
  <c r="AK48" i="3" s="1"/>
  <c r="AG45" i="3"/>
  <c r="AL45" i="3" s="1"/>
  <c r="AG43" i="3"/>
  <c r="AL43" i="3" s="1"/>
  <c r="AJ4" i="3" l="1"/>
  <c r="F11" i="11" s="1"/>
  <c r="AJ44" i="3"/>
  <c r="F51" i="11" s="1"/>
  <c r="AJ46" i="3"/>
  <c r="F53" i="11" s="1"/>
  <c r="AJ49" i="3"/>
  <c r="F56" i="11" s="1"/>
  <c r="AJ50" i="3"/>
  <c r="F57" i="11" s="1"/>
  <c r="AJ52" i="3"/>
  <c r="AO46" i="3"/>
  <c r="AO4" i="3"/>
  <c r="AO44" i="3"/>
  <c r="AO49" i="3"/>
  <c r="AO52" i="3"/>
  <c r="AO50" i="3"/>
  <c r="AJ48" i="3" l="1"/>
  <c r="F55" i="11" s="1"/>
  <c r="AJ43" i="3"/>
  <c r="F50" i="11" s="1"/>
  <c r="AJ47" i="3"/>
  <c r="F54" i="11" s="1"/>
  <c r="K1522" i="11" s="1"/>
  <c r="AO47" i="3"/>
  <c r="AO48" i="3"/>
  <c r="AJ51" i="3"/>
  <c r="F58" i="11" s="1"/>
  <c r="AO43" i="3"/>
  <c r="AJ45" i="3"/>
  <c r="F52" i="11" s="1"/>
  <c r="K1437" i="11" s="1"/>
  <c r="A15" i="11" l="1"/>
  <c r="AO51" i="3"/>
  <c r="AO45" i="3"/>
  <c r="AK16" i="11" l="1"/>
  <c r="AL16" i="11" s="1"/>
  <c r="AM16" i="11" s="1"/>
  <c r="AN16" i="11" s="1"/>
  <c r="AO16" i="11" s="1"/>
  <c r="AP16" i="11" s="1"/>
  <c r="AQ16" i="11" s="1"/>
  <c r="AR16" i="11" s="1"/>
  <c r="AS16" i="11" s="1"/>
  <c r="AT16" i="11" s="1"/>
  <c r="AU16" i="11" s="1"/>
  <c r="AV16" i="11" s="1"/>
  <c r="AW16" i="11" s="1"/>
  <c r="AX16" i="11" s="1"/>
  <c r="AY16" i="11" s="1"/>
  <c r="AZ16" i="11" s="1"/>
  <c r="BA16" i="11" s="1"/>
  <c r="BB16" i="11" s="1"/>
  <c r="BC16" i="11" s="1"/>
  <c r="BD16" i="11" s="1"/>
  <c r="BE16" i="11" s="1"/>
  <c r="BF16" i="11" s="1"/>
  <c r="BG16" i="11" s="1"/>
  <c r="BH16" i="11" s="1"/>
  <c r="K1539" i="11"/>
  <c r="K1607" i="11"/>
  <c r="K1641" i="11"/>
  <c r="K1674" i="11" l="1"/>
  <c r="K1673" i="11"/>
  <c r="K1672" i="11"/>
  <c r="K1671" i="11"/>
  <c r="K1663" i="11"/>
  <c r="K1658" i="11"/>
  <c r="K1657" i="11"/>
  <c r="K1656" i="11"/>
  <c r="K1655" i="11"/>
  <c r="K1654" i="11"/>
  <c r="K1653" i="11"/>
  <c r="K1652" i="11"/>
  <c r="K1651" i="11"/>
  <c r="K1650" i="11"/>
  <c r="K1649" i="11"/>
  <c r="K1648" i="11"/>
  <c r="K1647" i="11"/>
  <c r="K1646" i="11"/>
  <c r="K1645" i="11"/>
  <c r="K1644" i="11"/>
  <c r="K1643" i="11"/>
  <c r="K1642" i="11"/>
  <c r="K1640" i="11"/>
  <c r="K1639" i="11"/>
  <c r="K1638" i="11"/>
  <c r="K1637" i="11"/>
  <c r="K1629" i="11"/>
  <c r="K1624" i="11"/>
  <c r="K1623" i="11"/>
  <c r="K1622" i="11"/>
  <c r="K1621" i="11"/>
  <c r="K1620" i="11"/>
  <c r="K1619" i="11"/>
  <c r="K1618" i="11"/>
  <c r="K1617" i="11"/>
  <c r="K1616" i="11"/>
  <c r="K1615" i="11"/>
  <c r="K1614" i="11"/>
  <c r="K1613" i="11"/>
  <c r="K1612" i="11"/>
  <c r="K1611" i="11"/>
  <c r="K1610" i="11"/>
  <c r="K1609" i="11"/>
  <c r="K1608" i="11"/>
  <c r="K1606" i="11"/>
  <c r="K1605" i="11"/>
  <c r="K1604" i="11"/>
  <c r="K1603" i="11"/>
  <c r="K1595" i="11"/>
  <c r="K1590" i="11"/>
  <c r="K1589" i="11"/>
  <c r="K1588" i="11"/>
  <c r="K1587" i="11"/>
  <c r="K1586" i="11"/>
  <c r="K1585" i="11"/>
  <c r="K1584" i="11"/>
  <c r="K1583" i="11"/>
  <c r="K1582" i="11"/>
  <c r="K1581" i="11"/>
  <c r="K1580" i="11"/>
  <c r="K1579" i="11"/>
  <c r="K1578" i="11"/>
  <c r="K1577" i="11"/>
  <c r="K1576" i="11"/>
  <c r="K1575" i="11"/>
  <c r="K1574" i="11"/>
  <c r="K1573" i="11"/>
  <c r="K1572" i="11"/>
  <c r="K1571" i="11"/>
  <c r="K1570" i="11"/>
  <c r="K1569" i="11"/>
  <c r="K1561" i="11"/>
  <c r="K1556" i="11"/>
  <c r="K1555" i="11"/>
  <c r="K1554" i="11"/>
  <c r="K1553" i="11"/>
  <c r="K1552" i="11"/>
  <c r="K1551" i="11"/>
  <c r="K1550" i="11"/>
  <c r="K1549" i="11"/>
  <c r="K1548" i="11"/>
  <c r="K1547" i="11"/>
  <c r="K1546" i="11"/>
  <c r="K1545" i="11"/>
  <c r="K1544" i="11"/>
  <c r="K1543" i="11"/>
  <c r="K1542" i="11"/>
  <c r="K1541" i="11"/>
  <c r="K1540" i="11"/>
  <c r="K994" i="11"/>
  <c r="K1538" i="11" l="1"/>
  <c r="K1537" i="11"/>
  <c r="K1536" i="11"/>
  <c r="K1535" i="11"/>
  <c r="K1527" i="11"/>
  <c r="K1521" i="11"/>
  <c r="K1520" i="11"/>
  <c r="K1519" i="11"/>
  <c r="K1518" i="11"/>
  <c r="K1517" i="11"/>
  <c r="K1516" i="11"/>
  <c r="K1515" i="11"/>
  <c r="K1514" i="11"/>
  <c r="K1513" i="11"/>
  <c r="K1512" i="11"/>
  <c r="K1511" i="11"/>
  <c r="K1510" i="11"/>
  <c r="K1509" i="11"/>
  <c r="K1508" i="11"/>
  <c r="K1507" i="11"/>
  <c r="K1506" i="11"/>
  <c r="K1505" i="11"/>
  <c r="K1504" i="11"/>
  <c r="K1503" i="11"/>
  <c r="K1502" i="11"/>
  <c r="K1501" i="11"/>
  <c r="K1493" i="11"/>
  <c r="K1488" i="11"/>
  <c r="K1487" i="11"/>
  <c r="K1486" i="11"/>
  <c r="K1485" i="11"/>
  <c r="K1484" i="11"/>
  <c r="K1483" i="11"/>
  <c r="K1482" i="11"/>
  <c r="K1481" i="11"/>
  <c r="K1480" i="11"/>
  <c r="K1479" i="11"/>
  <c r="K1478" i="11"/>
  <c r="K1477" i="11"/>
  <c r="K1476" i="11"/>
  <c r="K1475" i="11"/>
  <c r="K1474" i="11"/>
  <c r="K1473" i="11"/>
  <c r="K1472" i="11"/>
  <c r="K1471" i="11"/>
  <c r="K1470" i="11"/>
  <c r="K1469" i="11"/>
  <c r="K1468" i="11"/>
  <c r="K1467" i="11"/>
  <c r="K1459" i="11"/>
  <c r="K1454" i="11"/>
  <c r="K1453" i="11"/>
  <c r="K1452" i="11"/>
  <c r="K1451" i="11"/>
  <c r="K1450" i="11"/>
  <c r="K1449" i="11"/>
  <c r="K1448" i="11"/>
  <c r="K1447" i="11"/>
  <c r="K1446" i="11"/>
  <c r="K1445" i="11"/>
  <c r="K1444" i="11"/>
  <c r="K1443" i="11"/>
  <c r="K1442" i="11"/>
  <c r="K1441" i="11"/>
  <c r="K1440" i="11"/>
  <c r="K1439" i="11"/>
  <c r="K1438" i="11"/>
  <c r="K1436" i="11"/>
  <c r="K1435" i="11"/>
  <c r="K1434" i="11"/>
  <c r="K1433" i="11"/>
  <c r="K1425" i="11"/>
  <c r="K1420" i="11"/>
  <c r="K1419" i="11"/>
  <c r="K1418" i="11"/>
  <c r="K1417" i="11"/>
  <c r="K1416" i="11"/>
  <c r="K1415" i="11"/>
  <c r="K1414" i="11"/>
  <c r="K1413" i="11"/>
  <c r="K1412" i="11"/>
  <c r="K1411" i="11"/>
  <c r="K1410" i="11"/>
  <c r="K1409" i="11"/>
  <c r="K1408" i="11"/>
  <c r="K1407" i="11"/>
  <c r="K1406" i="11"/>
  <c r="K1405" i="11"/>
  <c r="K1404" i="11"/>
  <c r="K1403" i="11"/>
  <c r="K1402" i="11"/>
  <c r="K1401" i="11"/>
  <c r="K1400" i="11"/>
  <c r="K1399" i="11"/>
  <c r="K1391" i="11"/>
  <c r="K1386" i="11"/>
  <c r="K1385" i="11"/>
  <c r="K1384" i="11"/>
  <c r="K1383" i="11"/>
  <c r="K1382" i="11"/>
  <c r="K1381" i="11"/>
  <c r="K1380" i="11"/>
  <c r="K1379" i="11"/>
  <c r="K1378" i="11"/>
  <c r="K1377" i="11"/>
  <c r="K1376" i="11"/>
  <c r="K1375" i="11"/>
  <c r="K1374" i="11"/>
  <c r="K1373" i="11"/>
  <c r="K1372" i="11"/>
  <c r="K1371" i="11"/>
  <c r="K1370" i="11"/>
  <c r="K1369" i="11"/>
  <c r="K1368" i="11"/>
  <c r="K1367" i="11"/>
  <c r="K1366" i="11"/>
  <c r="K1365" i="11"/>
  <c r="K1357" i="11"/>
  <c r="K1352" i="11"/>
  <c r="K1351" i="11"/>
  <c r="K1350" i="11"/>
  <c r="K1349" i="11"/>
  <c r="K1348" i="11"/>
  <c r="K1347" i="11"/>
  <c r="K1346" i="11"/>
  <c r="K1345" i="11"/>
  <c r="K1344" i="11"/>
  <c r="K1343" i="11"/>
  <c r="K1342" i="11"/>
  <c r="K1341" i="11"/>
  <c r="K1340" i="11"/>
  <c r="K1339" i="11"/>
  <c r="K1338" i="11"/>
  <c r="K1337" i="11"/>
  <c r="K1336" i="11"/>
  <c r="K1334" i="11"/>
  <c r="K1333" i="11"/>
  <c r="K1332" i="11"/>
  <c r="K1331" i="11"/>
  <c r="K1323" i="11"/>
  <c r="K1318" i="11"/>
  <c r="K1317" i="11"/>
  <c r="K1316" i="11"/>
  <c r="K1315" i="11"/>
  <c r="K1314" i="11"/>
  <c r="K1313" i="11"/>
  <c r="K1312" i="11"/>
  <c r="K1311" i="11"/>
  <c r="K1310" i="11"/>
  <c r="K1309" i="11"/>
  <c r="K1308" i="11"/>
  <c r="K1307" i="11"/>
  <c r="K1306" i="11"/>
  <c r="K1305" i="11"/>
  <c r="K1304" i="11"/>
  <c r="K1303" i="11"/>
  <c r="K1302" i="11"/>
  <c r="K1301" i="11"/>
  <c r="K1300" i="11"/>
  <c r="K1299" i="11"/>
  <c r="K1298" i="11"/>
  <c r="K1297" i="11"/>
  <c r="K1289" i="11"/>
  <c r="K1284" i="11"/>
  <c r="K1283" i="11"/>
  <c r="K1282" i="11"/>
  <c r="K1281" i="11"/>
  <c r="K1280" i="11"/>
  <c r="K1279" i="11"/>
  <c r="K1278" i="11"/>
  <c r="K1277" i="11"/>
  <c r="K1276" i="11"/>
  <c r="K1275" i="11"/>
  <c r="K1274" i="11"/>
  <c r="K1273" i="11"/>
  <c r="K1272" i="11"/>
  <c r="K1271" i="11"/>
  <c r="K1270" i="11"/>
  <c r="K1269" i="11"/>
  <c r="K1268" i="11"/>
  <c r="K1266" i="11"/>
  <c r="K1265" i="11"/>
  <c r="K1264" i="11"/>
  <c r="K1263" i="11"/>
  <c r="K1255" i="11"/>
  <c r="K1250" i="11"/>
  <c r="K1249" i="11"/>
  <c r="K1248" i="11"/>
  <c r="K1247" i="11"/>
  <c r="K1246" i="11"/>
  <c r="K1245" i="11"/>
  <c r="K1244" i="11"/>
  <c r="K1243" i="11"/>
  <c r="K1242" i="11"/>
  <c r="K1241" i="11"/>
  <c r="K1240" i="11"/>
  <c r="K1239" i="11"/>
  <c r="K1238" i="11"/>
  <c r="K1237" i="11"/>
  <c r="K1236" i="11"/>
  <c r="K1235" i="11"/>
  <c r="K1234" i="11"/>
  <c r="K1232" i="11"/>
  <c r="K1231" i="11"/>
  <c r="K1230" i="11"/>
  <c r="K1229" i="11"/>
  <c r="K1221" i="11"/>
  <c r="K1216" i="11"/>
  <c r="K1215" i="11"/>
  <c r="K1214" i="11"/>
  <c r="K1213" i="11"/>
  <c r="K1212" i="11"/>
  <c r="K1211" i="11"/>
  <c r="K1210" i="11"/>
  <c r="K1209" i="11"/>
  <c r="K1208" i="11"/>
  <c r="K1207" i="11"/>
  <c r="K1206" i="11"/>
  <c r="K1205" i="11"/>
  <c r="K1204" i="11"/>
  <c r="K1203" i="11"/>
  <c r="K1202" i="11"/>
  <c r="K1201" i="11"/>
  <c r="K1200" i="11"/>
  <c r="K1198" i="11"/>
  <c r="K1197" i="11"/>
  <c r="K1196" i="11"/>
  <c r="K1195" i="11"/>
  <c r="K1187" i="11"/>
  <c r="K1182" i="11"/>
  <c r="K1181" i="11"/>
  <c r="K1180" i="11"/>
  <c r="K1179" i="11"/>
  <c r="K1178" i="11"/>
  <c r="K1177" i="11"/>
  <c r="K1176" i="11"/>
  <c r="K1175" i="11"/>
  <c r="K1174" i="11"/>
  <c r="K1173" i="11"/>
  <c r="K1172" i="11"/>
  <c r="K1171" i="11"/>
  <c r="K1170" i="11"/>
  <c r="K1169" i="11"/>
  <c r="K1168" i="11"/>
  <c r="K1167" i="11"/>
  <c r="K1166" i="11"/>
  <c r="K1165" i="11"/>
  <c r="K1164" i="11"/>
  <c r="K1163" i="11"/>
  <c r="K1162" i="11"/>
  <c r="K1161" i="11"/>
  <c r="K1153" i="11"/>
  <c r="K1148" i="11"/>
  <c r="K1147" i="11"/>
  <c r="K1146" i="11"/>
  <c r="K1145" i="11"/>
  <c r="K1144" i="11"/>
  <c r="K1143" i="11"/>
  <c r="K1142" i="11"/>
  <c r="K1141" i="11"/>
  <c r="K1140" i="11"/>
  <c r="K1139" i="11"/>
  <c r="K1138" i="11"/>
  <c r="K1137" i="11"/>
  <c r="K1136" i="11"/>
  <c r="K1135" i="11"/>
  <c r="K1134" i="11"/>
  <c r="K1133" i="11"/>
  <c r="K1132" i="11"/>
  <c r="K1131" i="11"/>
  <c r="K1130" i="11"/>
  <c r="K1129" i="11"/>
  <c r="K1128" i="11"/>
  <c r="K1127" i="11"/>
  <c r="K1119" i="11"/>
  <c r="K1114" i="11"/>
  <c r="K1113" i="11"/>
  <c r="K1112" i="11"/>
  <c r="K1111" i="11"/>
  <c r="K1110" i="11"/>
  <c r="K1109" i="11"/>
  <c r="K1108" i="11"/>
  <c r="K1107" i="11"/>
  <c r="K1106" i="11"/>
  <c r="K1105" i="11"/>
  <c r="K1104" i="11"/>
  <c r="K1103" i="11"/>
  <c r="K1102" i="11"/>
  <c r="K1101" i="11"/>
  <c r="K1100" i="11"/>
  <c r="K1099" i="11"/>
  <c r="K1098" i="11"/>
  <c r="K1096" i="11"/>
  <c r="K1095" i="11"/>
  <c r="K1094" i="11"/>
  <c r="K1093" i="11"/>
  <c r="K1085" i="11"/>
  <c r="K1080" i="11"/>
  <c r="K1079" i="11"/>
  <c r="K1078" i="11"/>
  <c r="K1077" i="11"/>
  <c r="K1076" i="11"/>
  <c r="K1075" i="11"/>
  <c r="K1074" i="11"/>
  <c r="K1073" i="11"/>
  <c r="K1072" i="11"/>
  <c r="K1071" i="11"/>
  <c r="K1070" i="11"/>
  <c r="K1069" i="11"/>
  <c r="K1068" i="11"/>
  <c r="K1067" i="11"/>
  <c r="K1066" i="11"/>
  <c r="K1065" i="11"/>
  <c r="K1064" i="11"/>
  <c r="K1062" i="11"/>
  <c r="K1061" i="11"/>
  <c r="K1060" i="11"/>
  <c r="K1059" i="11"/>
  <c r="K1051" i="11"/>
  <c r="K1046" i="11"/>
  <c r="K1045" i="11"/>
  <c r="K1044" i="11"/>
  <c r="K1043" i="11"/>
  <c r="K1042" i="11"/>
  <c r="K1041" i="11"/>
  <c r="K1040" i="11"/>
  <c r="K1039" i="11"/>
  <c r="K1038" i="11"/>
  <c r="K1037" i="11"/>
  <c r="K1036" i="11"/>
  <c r="K1035" i="11"/>
  <c r="K1034" i="11"/>
  <c r="K1033" i="11"/>
  <c r="K1032" i="11"/>
  <c r="K1031" i="11"/>
  <c r="K1030" i="11"/>
  <c r="K1029" i="11"/>
  <c r="K1028" i="11"/>
  <c r="K1027" i="11"/>
  <c r="K1026" i="11"/>
  <c r="K1025" i="11"/>
  <c r="K1017" i="11"/>
  <c r="K1012" i="11"/>
  <c r="K1011" i="11"/>
  <c r="K1010" i="11"/>
  <c r="K1009" i="11"/>
  <c r="K1008" i="11"/>
  <c r="K1007" i="11"/>
  <c r="K1006" i="11"/>
  <c r="K1005" i="11"/>
  <c r="K1004" i="11"/>
  <c r="K1003" i="11"/>
  <c r="K1002" i="11"/>
  <c r="K1001" i="11"/>
  <c r="K1000" i="11"/>
  <c r="K999" i="11"/>
  <c r="K998" i="11"/>
  <c r="K997" i="11"/>
  <c r="K996" i="11"/>
  <c r="K995" i="11"/>
  <c r="K993" i="11"/>
  <c r="K992" i="11"/>
  <c r="K991" i="11"/>
  <c r="K983" i="11"/>
  <c r="K978" i="11"/>
  <c r="K977" i="11"/>
  <c r="K976" i="11"/>
  <c r="K975" i="11"/>
  <c r="K974" i="11"/>
  <c r="K973" i="11"/>
  <c r="K972" i="11"/>
  <c r="K971" i="11"/>
  <c r="K970" i="11"/>
  <c r="K969" i="11"/>
  <c r="K968" i="11"/>
  <c r="K967" i="11"/>
  <c r="K966" i="11"/>
  <c r="K965" i="11"/>
  <c r="K964" i="11"/>
  <c r="K963" i="11"/>
  <c r="K962" i="11"/>
  <c r="K961" i="11"/>
  <c r="K960" i="11"/>
  <c r="K959" i="11"/>
  <c r="K958" i="11"/>
  <c r="K957" i="11"/>
  <c r="K949" i="11"/>
  <c r="K944" i="11"/>
  <c r="K943" i="11"/>
  <c r="K942" i="11"/>
  <c r="K941" i="11"/>
  <c r="K940" i="11"/>
  <c r="K939" i="11"/>
  <c r="K938" i="11"/>
  <c r="K937" i="11"/>
  <c r="K936" i="11"/>
  <c r="K935" i="11"/>
  <c r="K934" i="11"/>
  <c r="K933" i="11"/>
  <c r="K932" i="11"/>
  <c r="K931" i="11"/>
  <c r="K930" i="11"/>
  <c r="K929" i="11"/>
  <c r="K928" i="11"/>
  <c r="K927" i="11"/>
  <c r="K926" i="11"/>
  <c r="K925" i="11"/>
  <c r="K924" i="11"/>
  <c r="K923" i="11"/>
  <c r="K915" i="11"/>
  <c r="K910" i="11"/>
  <c r="K909" i="11"/>
  <c r="K908" i="11"/>
  <c r="K907" i="11"/>
  <c r="K906" i="11"/>
  <c r="K905" i="11"/>
  <c r="K904" i="11"/>
  <c r="K903" i="11"/>
  <c r="K902" i="11"/>
  <c r="K901" i="11"/>
  <c r="K900" i="11"/>
  <c r="K899" i="11"/>
  <c r="K898" i="11"/>
  <c r="K897" i="11"/>
  <c r="K896" i="11"/>
  <c r="K895" i="11"/>
  <c r="K894" i="11"/>
  <c r="K893" i="11"/>
  <c r="K892" i="11"/>
  <c r="K891" i="11"/>
  <c r="K890" i="11"/>
  <c r="K889" i="11"/>
  <c r="K881" i="11"/>
  <c r="K876" i="11"/>
  <c r="K875" i="11"/>
  <c r="K874" i="11"/>
  <c r="K873" i="11"/>
  <c r="K872" i="11"/>
  <c r="K871" i="11"/>
  <c r="K870" i="11"/>
  <c r="K869" i="11"/>
  <c r="K868" i="11"/>
  <c r="K867" i="11"/>
  <c r="K866" i="11"/>
  <c r="K865" i="11"/>
  <c r="K864" i="11"/>
  <c r="K863" i="11"/>
  <c r="K862" i="11"/>
  <c r="K861" i="11"/>
  <c r="K860" i="11"/>
  <c r="K859" i="11"/>
  <c r="A1674" i="11"/>
  <c r="H1672" i="11"/>
  <c r="A1640" i="11"/>
  <c r="H1638" i="11"/>
  <c r="A1606" i="11"/>
  <c r="H1604" i="11"/>
  <c r="A1572" i="11"/>
  <c r="H1570" i="11"/>
  <c r="A1538" i="11"/>
  <c r="H1536" i="11"/>
  <c r="A1504" i="11"/>
  <c r="H1502" i="11"/>
  <c r="A1470" i="11"/>
  <c r="H1468" i="11"/>
  <c r="A1436" i="11"/>
  <c r="H1434" i="11"/>
  <c r="A1402" i="11"/>
  <c r="H1400" i="11"/>
  <c r="A1368" i="11"/>
  <c r="H1366" i="11"/>
  <c r="A1334" i="11"/>
  <c r="H1332" i="11"/>
  <c r="A1300" i="11"/>
  <c r="H1298" i="11"/>
  <c r="A1266" i="11"/>
  <c r="H1264" i="11"/>
  <c r="A1232" i="11"/>
  <c r="H1230" i="11"/>
  <c r="A1198" i="11"/>
  <c r="H1196" i="11"/>
  <c r="A1164" i="11"/>
  <c r="H1162" i="11"/>
  <c r="A1130" i="11"/>
  <c r="H1128" i="11"/>
  <c r="A1096" i="11"/>
  <c r="H1094" i="11"/>
  <c r="A1062" i="11"/>
  <c r="H1060" i="11"/>
  <c r="A1028" i="11"/>
  <c r="H1026" i="11"/>
  <c r="A994" i="11"/>
  <c r="H992" i="11"/>
  <c r="A960" i="11"/>
  <c r="H958" i="11"/>
  <c r="A926" i="11"/>
  <c r="H924" i="11"/>
  <c r="A892" i="11"/>
  <c r="H890" i="11"/>
  <c r="CX62" i="3" l="1"/>
  <c r="AU14" i="6"/>
  <c r="AU15" i="6"/>
  <c r="AU16" i="6"/>
  <c r="AU17" i="6"/>
  <c r="AU18" i="6"/>
  <c r="AU19" i="6"/>
  <c r="AU20" i="6"/>
  <c r="AU13" i="6"/>
  <c r="AT20" i="6"/>
  <c r="AH20" i="6"/>
  <c r="AH19" i="6"/>
  <c r="K175" i="11"/>
  <c r="H176" i="11"/>
  <c r="K176" i="11"/>
  <c r="K177" i="11"/>
  <c r="H856" i="11"/>
  <c r="H822" i="11"/>
  <c r="H788" i="11"/>
  <c r="H754" i="11"/>
  <c r="H720" i="11"/>
  <c r="H686" i="11"/>
  <c r="H652" i="11"/>
  <c r="H618" i="11"/>
  <c r="H584" i="11"/>
  <c r="H550" i="11"/>
  <c r="H516" i="11"/>
  <c r="H482" i="11"/>
  <c r="H448" i="11"/>
  <c r="H414" i="11"/>
  <c r="H380" i="11"/>
  <c r="H346" i="11"/>
  <c r="H312" i="11"/>
  <c r="H278" i="11"/>
  <c r="H244" i="11"/>
  <c r="H210" i="11"/>
  <c r="H142" i="11"/>
  <c r="H108" i="11"/>
  <c r="H74" i="11"/>
  <c r="K858" i="11"/>
  <c r="K857" i="11"/>
  <c r="K856" i="11"/>
  <c r="K855" i="11"/>
  <c r="K847" i="11"/>
  <c r="K842" i="11"/>
  <c r="K841" i="11"/>
  <c r="K840" i="11"/>
  <c r="K839" i="11"/>
  <c r="K838" i="11"/>
  <c r="K837" i="11"/>
  <c r="K836" i="11"/>
  <c r="K835" i="11"/>
  <c r="K834" i="11"/>
  <c r="K833" i="11"/>
  <c r="K832" i="11"/>
  <c r="K831" i="11"/>
  <c r="K830" i="11"/>
  <c r="K829" i="11"/>
  <c r="K828" i="11"/>
  <c r="K827" i="11"/>
  <c r="K826" i="11"/>
  <c r="K825" i="11"/>
  <c r="K824" i="11"/>
  <c r="K823" i="11"/>
  <c r="K822" i="11"/>
  <c r="K821" i="11"/>
  <c r="K813" i="11"/>
  <c r="K808" i="11"/>
  <c r="K807" i="11"/>
  <c r="K806" i="11"/>
  <c r="K805" i="11"/>
  <c r="K804" i="11"/>
  <c r="K803" i="11"/>
  <c r="K802" i="11"/>
  <c r="K801" i="11"/>
  <c r="K800" i="11"/>
  <c r="K799" i="11"/>
  <c r="K798" i="11"/>
  <c r="K797" i="11"/>
  <c r="K796" i="11"/>
  <c r="K795" i="11"/>
  <c r="K794" i="11"/>
  <c r="K793" i="11"/>
  <c r="K792" i="11"/>
  <c r="K791" i="11"/>
  <c r="K790" i="11"/>
  <c r="K789" i="11"/>
  <c r="K788" i="11"/>
  <c r="K787" i="11"/>
  <c r="K779" i="11"/>
  <c r="K774" i="11"/>
  <c r="K773" i="11"/>
  <c r="K772" i="11"/>
  <c r="K771" i="11"/>
  <c r="K770" i="11"/>
  <c r="K769" i="11"/>
  <c r="K768" i="11"/>
  <c r="K767" i="11"/>
  <c r="K766" i="11"/>
  <c r="K765" i="11"/>
  <c r="K764" i="11"/>
  <c r="K763" i="11"/>
  <c r="K762" i="11"/>
  <c r="K761" i="11"/>
  <c r="K760" i="11"/>
  <c r="K759" i="11"/>
  <c r="K758" i="11"/>
  <c r="K757" i="11"/>
  <c r="K756" i="11"/>
  <c r="K755" i="11"/>
  <c r="K754" i="11"/>
  <c r="K753" i="11"/>
  <c r="K745" i="11"/>
  <c r="K740" i="11"/>
  <c r="K739" i="11"/>
  <c r="K738" i="11"/>
  <c r="K737" i="11"/>
  <c r="K736" i="11"/>
  <c r="K735" i="11"/>
  <c r="K734" i="11"/>
  <c r="K733" i="11"/>
  <c r="K732" i="11"/>
  <c r="K731" i="11"/>
  <c r="K730" i="11"/>
  <c r="K729" i="11"/>
  <c r="K728" i="11"/>
  <c r="K727" i="11"/>
  <c r="K726" i="11"/>
  <c r="K725" i="11"/>
  <c r="K724" i="11"/>
  <c r="K723" i="11"/>
  <c r="K722" i="11"/>
  <c r="K721" i="11"/>
  <c r="K720" i="11"/>
  <c r="K719" i="11"/>
  <c r="K711" i="11"/>
  <c r="K705" i="11"/>
  <c r="K704" i="11"/>
  <c r="K703" i="11"/>
  <c r="K702" i="11"/>
  <c r="K701" i="11"/>
  <c r="K700" i="11"/>
  <c r="K699" i="11"/>
  <c r="K698" i="11"/>
  <c r="K697" i="11"/>
  <c r="K696" i="11"/>
  <c r="K695" i="11"/>
  <c r="K694" i="11"/>
  <c r="K693" i="11"/>
  <c r="K692" i="11"/>
  <c r="K691" i="11"/>
  <c r="K690" i="11"/>
  <c r="K689" i="11"/>
  <c r="K688" i="11"/>
  <c r="K687" i="11"/>
  <c r="K686" i="11"/>
  <c r="K685" i="11"/>
  <c r="K677" i="11"/>
  <c r="K672" i="11"/>
  <c r="K671" i="11"/>
  <c r="K670" i="11"/>
  <c r="K669" i="11"/>
  <c r="K668" i="11"/>
  <c r="K667" i="11"/>
  <c r="K666" i="11"/>
  <c r="K665" i="11"/>
  <c r="K664" i="11"/>
  <c r="K663" i="11"/>
  <c r="K662" i="11"/>
  <c r="K661" i="11"/>
  <c r="K660" i="11"/>
  <c r="K659" i="11"/>
  <c r="K658" i="11"/>
  <c r="K657" i="11"/>
  <c r="K656" i="11"/>
  <c r="K655" i="11"/>
  <c r="K654" i="11"/>
  <c r="K653" i="11"/>
  <c r="K652" i="11"/>
  <c r="K651" i="11"/>
  <c r="K643" i="11"/>
  <c r="K638" i="11"/>
  <c r="K637" i="11"/>
  <c r="K636" i="11"/>
  <c r="K635" i="11"/>
  <c r="K634" i="11"/>
  <c r="K633" i="11"/>
  <c r="K632" i="11"/>
  <c r="K631" i="11"/>
  <c r="K630" i="11"/>
  <c r="K629" i="11"/>
  <c r="K628" i="11"/>
  <c r="K627" i="11"/>
  <c r="K626" i="11"/>
  <c r="K625" i="11"/>
  <c r="K624" i="11"/>
  <c r="K623" i="11"/>
  <c r="K622" i="11"/>
  <c r="K621" i="11"/>
  <c r="K620" i="11"/>
  <c r="K619" i="11"/>
  <c r="K618" i="11"/>
  <c r="K617" i="11"/>
  <c r="K609" i="11"/>
  <c r="K604" i="11"/>
  <c r="K603" i="11"/>
  <c r="K602" i="11"/>
  <c r="K601" i="11"/>
  <c r="K600" i="11"/>
  <c r="K599" i="11"/>
  <c r="K598" i="11"/>
  <c r="K597" i="11"/>
  <c r="K596" i="11"/>
  <c r="K595" i="11"/>
  <c r="K594" i="11"/>
  <c r="K593" i="11"/>
  <c r="K592" i="11"/>
  <c r="K591" i="11"/>
  <c r="K590" i="11"/>
  <c r="K589" i="11"/>
  <c r="K588" i="11"/>
  <c r="K587" i="11"/>
  <c r="K586" i="11"/>
  <c r="K585" i="11"/>
  <c r="K584" i="11"/>
  <c r="K583" i="11"/>
  <c r="K575" i="11"/>
  <c r="K570" i="11"/>
  <c r="K569" i="11"/>
  <c r="K568" i="11"/>
  <c r="K567" i="11"/>
  <c r="K566" i="11"/>
  <c r="K565" i="11"/>
  <c r="K564" i="11"/>
  <c r="K563" i="11"/>
  <c r="K562" i="11"/>
  <c r="K561" i="11"/>
  <c r="K560" i="11"/>
  <c r="K559" i="11"/>
  <c r="K558" i="11"/>
  <c r="K557" i="11"/>
  <c r="K556" i="11"/>
  <c r="K555" i="11"/>
  <c r="K554" i="11"/>
  <c r="K553" i="11"/>
  <c r="K552" i="11"/>
  <c r="K551" i="11"/>
  <c r="K550" i="11"/>
  <c r="K549" i="11"/>
  <c r="K541" i="11"/>
  <c r="K536" i="11"/>
  <c r="K535" i="11"/>
  <c r="K534" i="11"/>
  <c r="K533" i="11"/>
  <c r="K532" i="11"/>
  <c r="K531" i="11"/>
  <c r="K530" i="11"/>
  <c r="K529" i="11"/>
  <c r="K528" i="11"/>
  <c r="K527" i="11"/>
  <c r="K526" i="11"/>
  <c r="K525" i="11"/>
  <c r="K524" i="11"/>
  <c r="K523" i="11"/>
  <c r="K522" i="11"/>
  <c r="K521" i="11"/>
  <c r="K520" i="11"/>
  <c r="K519" i="11"/>
  <c r="K518" i="11"/>
  <c r="K517" i="11"/>
  <c r="K516" i="11"/>
  <c r="K515" i="11"/>
  <c r="K507" i="11"/>
  <c r="K502" i="11"/>
  <c r="K501" i="11"/>
  <c r="K500" i="11"/>
  <c r="K499" i="11"/>
  <c r="K498" i="11"/>
  <c r="K497" i="11"/>
  <c r="K496" i="11"/>
  <c r="K495" i="11"/>
  <c r="K494" i="11"/>
  <c r="K493" i="11"/>
  <c r="K492" i="11"/>
  <c r="K491" i="11"/>
  <c r="K490" i="11"/>
  <c r="K489" i="11"/>
  <c r="K488" i="11"/>
  <c r="K487" i="11"/>
  <c r="K486" i="11"/>
  <c r="K485" i="11"/>
  <c r="K484" i="11"/>
  <c r="K483" i="11"/>
  <c r="K482" i="11"/>
  <c r="K481" i="11"/>
  <c r="K473" i="11"/>
  <c r="K468" i="11"/>
  <c r="K467" i="11"/>
  <c r="K466" i="11"/>
  <c r="K465" i="11"/>
  <c r="K464" i="11"/>
  <c r="K463" i="11"/>
  <c r="K462" i="11"/>
  <c r="K461" i="11"/>
  <c r="K460" i="11"/>
  <c r="K459" i="11"/>
  <c r="K458" i="11"/>
  <c r="K457" i="11"/>
  <c r="K456" i="11"/>
  <c r="K455" i="11"/>
  <c r="K454" i="11"/>
  <c r="K453" i="11"/>
  <c r="K452" i="11"/>
  <c r="K451" i="11"/>
  <c r="K450" i="11"/>
  <c r="K449" i="11"/>
  <c r="K448" i="11"/>
  <c r="K447" i="11"/>
  <c r="K439" i="11"/>
  <c r="K434" i="11"/>
  <c r="K433" i="11"/>
  <c r="K432" i="11"/>
  <c r="K431" i="11"/>
  <c r="K430" i="11"/>
  <c r="K429" i="11"/>
  <c r="K428" i="11"/>
  <c r="K427" i="11"/>
  <c r="K426" i="11"/>
  <c r="K425" i="11"/>
  <c r="K424" i="11"/>
  <c r="K423" i="11"/>
  <c r="K422" i="11"/>
  <c r="K421" i="11"/>
  <c r="K420" i="11"/>
  <c r="K419" i="11"/>
  <c r="K418" i="11"/>
  <c r="K417" i="11"/>
  <c r="K416" i="11"/>
  <c r="K415" i="11"/>
  <c r="K414" i="11"/>
  <c r="K413" i="11"/>
  <c r="K405" i="11"/>
  <c r="K400" i="11"/>
  <c r="K399" i="11"/>
  <c r="K398" i="11"/>
  <c r="K397" i="11"/>
  <c r="K396" i="11"/>
  <c r="K395" i="11"/>
  <c r="K394" i="11"/>
  <c r="K393" i="11"/>
  <c r="K392" i="11"/>
  <c r="K391" i="11"/>
  <c r="K390" i="11"/>
  <c r="K389" i="11"/>
  <c r="K388" i="11"/>
  <c r="K387" i="11"/>
  <c r="K386" i="11"/>
  <c r="K385" i="11"/>
  <c r="K384" i="11"/>
  <c r="K383" i="11"/>
  <c r="K382" i="11"/>
  <c r="K381" i="11"/>
  <c r="K380" i="11"/>
  <c r="K379" i="11"/>
  <c r="K371" i="11"/>
  <c r="K366" i="11"/>
  <c r="K365" i="11"/>
  <c r="K364" i="11"/>
  <c r="K363" i="11"/>
  <c r="K362" i="11"/>
  <c r="K361" i="11"/>
  <c r="K360" i="11"/>
  <c r="K359" i="11"/>
  <c r="K358" i="11"/>
  <c r="K357" i="11"/>
  <c r="K356" i="11"/>
  <c r="K355" i="11"/>
  <c r="K354" i="11"/>
  <c r="K353" i="11"/>
  <c r="K352" i="11"/>
  <c r="K351" i="11"/>
  <c r="K350" i="11"/>
  <c r="K349" i="11"/>
  <c r="K348" i="11"/>
  <c r="K347" i="11"/>
  <c r="K346" i="11"/>
  <c r="K345" i="11"/>
  <c r="K337" i="11"/>
  <c r="K332" i="11"/>
  <c r="K331" i="11"/>
  <c r="K330" i="11"/>
  <c r="K329" i="11"/>
  <c r="K328" i="11"/>
  <c r="K327" i="11"/>
  <c r="K326" i="11"/>
  <c r="K325" i="11"/>
  <c r="K324" i="11"/>
  <c r="K323" i="11"/>
  <c r="K322" i="11"/>
  <c r="K321" i="11"/>
  <c r="K320" i="11"/>
  <c r="K319" i="11"/>
  <c r="K318" i="11"/>
  <c r="K317" i="11"/>
  <c r="K316" i="11"/>
  <c r="K315" i="11"/>
  <c r="K314" i="11"/>
  <c r="K313" i="11"/>
  <c r="K312" i="11"/>
  <c r="K311" i="11"/>
  <c r="K303" i="11"/>
  <c r="K298" i="11"/>
  <c r="K297" i="11"/>
  <c r="K296" i="11"/>
  <c r="K295" i="11"/>
  <c r="K294" i="11"/>
  <c r="K293" i="11"/>
  <c r="K292" i="11"/>
  <c r="K291" i="11"/>
  <c r="K290" i="11"/>
  <c r="K289" i="11"/>
  <c r="K288" i="11"/>
  <c r="K287" i="11"/>
  <c r="K286" i="11"/>
  <c r="K285" i="11"/>
  <c r="K284" i="11"/>
  <c r="K283" i="11"/>
  <c r="K282" i="11"/>
  <c r="K281" i="11"/>
  <c r="K280" i="11"/>
  <c r="K279" i="11"/>
  <c r="K278" i="11"/>
  <c r="K277" i="11"/>
  <c r="K269" i="11"/>
  <c r="K264" i="11"/>
  <c r="K263" i="11"/>
  <c r="K262" i="11"/>
  <c r="K261" i="11"/>
  <c r="K260" i="11"/>
  <c r="K259" i="11"/>
  <c r="K258" i="11"/>
  <c r="K257" i="11"/>
  <c r="K256" i="11"/>
  <c r="K255" i="11"/>
  <c r="K254" i="11"/>
  <c r="K253" i="11"/>
  <c r="K252" i="11"/>
  <c r="K251" i="11"/>
  <c r="K250" i="11"/>
  <c r="K249" i="11"/>
  <c r="K248" i="11"/>
  <c r="K247" i="11"/>
  <c r="K246" i="11"/>
  <c r="K245" i="11"/>
  <c r="K244" i="11"/>
  <c r="K243" i="11"/>
  <c r="K235" i="11"/>
  <c r="K230" i="11"/>
  <c r="K229" i="11"/>
  <c r="K228" i="11"/>
  <c r="K227" i="11"/>
  <c r="K226" i="11"/>
  <c r="K225" i="11"/>
  <c r="K224" i="11"/>
  <c r="K223" i="11"/>
  <c r="K222" i="11"/>
  <c r="K221" i="11"/>
  <c r="K220" i="11"/>
  <c r="K219" i="11"/>
  <c r="K218" i="11"/>
  <c r="K217" i="11"/>
  <c r="K216" i="11"/>
  <c r="K215" i="11"/>
  <c r="K214" i="11"/>
  <c r="K213" i="11"/>
  <c r="K212" i="11"/>
  <c r="K211" i="11"/>
  <c r="K210" i="11"/>
  <c r="K209" i="11"/>
  <c r="K201" i="11"/>
  <c r="K196" i="11"/>
  <c r="K195" i="11"/>
  <c r="K194" i="11"/>
  <c r="K193" i="11"/>
  <c r="K192" i="11"/>
  <c r="K191" i="11"/>
  <c r="K190" i="11"/>
  <c r="K189" i="11"/>
  <c r="K188" i="11"/>
  <c r="K187" i="11"/>
  <c r="K186" i="11"/>
  <c r="K185" i="11"/>
  <c r="K184" i="11"/>
  <c r="K183" i="11"/>
  <c r="K182" i="11"/>
  <c r="K181" i="11"/>
  <c r="K180" i="11"/>
  <c r="K179" i="11"/>
  <c r="K178" i="11"/>
  <c r="K167" i="11"/>
  <c r="K162" i="11"/>
  <c r="K161" i="11"/>
  <c r="K160" i="11"/>
  <c r="K159" i="11"/>
  <c r="K158" i="11"/>
  <c r="K157" i="11"/>
  <c r="K156" i="11"/>
  <c r="K155" i="11"/>
  <c r="K154" i="11"/>
  <c r="K153" i="11"/>
  <c r="K152" i="11"/>
  <c r="K151" i="11"/>
  <c r="K150" i="11"/>
  <c r="K149" i="11"/>
  <c r="K148" i="11"/>
  <c r="K147" i="11"/>
  <c r="K146" i="11"/>
  <c r="K145" i="11"/>
  <c r="K144" i="11"/>
  <c r="K143" i="11"/>
  <c r="K142" i="11"/>
  <c r="K141" i="11"/>
  <c r="K133" i="11"/>
  <c r="K128" i="11"/>
  <c r="K127" i="11"/>
  <c r="K126" i="11"/>
  <c r="K125" i="11"/>
  <c r="K124" i="11"/>
  <c r="K123" i="11"/>
  <c r="K122" i="11"/>
  <c r="K121" i="1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99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65" i="11"/>
  <c r="K44" i="11"/>
  <c r="K45" i="11"/>
  <c r="K46" i="11"/>
  <c r="K47" i="11"/>
  <c r="K48" i="11"/>
  <c r="K49" i="11"/>
  <c r="K50" i="11"/>
  <c r="K51" i="11"/>
  <c r="K52" i="11"/>
  <c r="K53" i="11"/>
  <c r="K54" i="11"/>
  <c r="K55" i="11"/>
  <c r="K56" i="11"/>
  <c r="K57" i="11"/>
  <c r="K58" i="11"/>
  <c r="K59" i="11"/>
  <c r="K60" i="11"/>
  <c r="K43" i="11"/>
  <c r="A858" i="11"/>
  <c r="A824" i="11"/>
  <c r="A790" i="11"/>
  <c r="A756" i="11"/>
  <c r="A722" i="11"/>
  <c r="A688" i="11"/>
  <c r="A654" i="11"/>
  <c r="A620" i="11"/>
  <c r="A586" i="11"/>
  <c r="A552" i="11"/>
  <c r="A518" i="11"/>
  <c r="A484" i="11"/>
  <c r="A450" i="11"/>
  <c r="A416" i="11"/>
  <c r="A382" i="11"/>
  <c r="A348" i="11"/>
  <c r="A314" i="11"/>
  <c r="A280" i="11"/>
  <c r="A246" i="11"/>
  <c r="A212" i="11"/>
  <c r="A178" i="11"/>
  <c r="A144" i="11"/>
  <c r="A110" i="11"/>
  <c r="A76" i="11"/>
  <c r="A42" i="11"/>
  <c r="H40" i="11"/>
  <c r="AT10" i="6"/>
  <c r="AT11" i="6"/>
  <c r="AT12" i="6"/>
  <c r="AT13" i="6"/>
  <c r="AT14" i="6"/>
  <c r="AT15" i="6"/>
  <c r="AT16" i="6"/>
  <c r="AT17" i="6"/>
  <c r="AT18" i="6"/>
  <c r="AT19" i="6"/>
  <c r="AF23" i="6"/>
  <c r="AF25" i="6"/>
  <c r="AF24" i="6"/>
  <c r="AM5" i="6"/>
  <c r="AK19" i="6"/>
  <c r="C25" i="6"/>
  <c r="C26" i="6"/>
  <c r="V4" i="6"/>
  <c r="V21" i="6" s="1"/>
  <c r="V52" i="6" s="1"/>
  <c r="R4" i="6"/>
  <c r="R13" i="6" s="1"/>
  <c r="R44" i="6" s="1"/>
  <c r="A45" i="4"/>
  <c r="G43" i="4"/>
  <c r="AH53" i="3"/>
  <c r="AM53" i="3" s="1"/>
  <c r="N4" i="6"/>
  <c r="N24" i="6" s="1"/>
  <c r="N55" i="6" s="1"/>
  <c r="J4" i="6"/>
  <c r="J34" i="6" s="1"/>
  <c r="F4" i="6"/>
  <c r="Y51" i="6"/>
  <c r="Z31" i="6"/>
  <c r="Z30" i="6"/>
  <c r="Y50" i="6"/>
  <c r="Y44" i="6"/>
  <c r="Y49" i="6"/>
  <c r="Y48" i="6"/>
  <c r="Y47" i="6"/>
  <c r="Y46" i="6"/>
  <c r="Y45" i="6"/>
  <c r="Z29" i="6"/>
  <c r="Z28" i="6"/>
  <c r="Z27" i="6"/>
  <c r="Z16" i="6"/>
  <c r="Z25" i="6" s="1"/>
  <c r="Z17" i="6"/>
  <c r="Z26" i="6" s="1"/>
  <c r="Z15" i="6"/>
  <c r="Z24" i="6" s="1"/>
  <c r="X24" i="6"/>
  <c r="BW62" i="3"/>
  <c r="FN53" i="3"/>
  <c r="FM53" i="3"/>
  <c r="FL53" i="3"/>
  <c r="FK53" i="3"/>
  <c r="FJ53" i="3"/>
  <c r="FI53" i="3"/>
  <c r="FH53" i="3"/>
  <c r="FG53" i="3"/>
  <c r="FF53" i="3"/>
  <c r="FE53" i="3"/>
  <c r="FD53" i="3"/>
  <c r="FC53" i="3"/>
  <c r="FB53" i="3"/>
  <c r="FA53" i="3"/>
  <c r="EZ53" i="3"/>
  <c r="EY53" i="3"/>
  <c r="EX53" i="3"/>
  <c r="EW53" i="3"/>
  <c r="EV53" i="3"/>
  <c r="EU53" i="3"/>
  <c r="ET53" i="3"/>
  <c r="ES53" i="3"/>
  <c r="ER53" i="3"/>
  <c r="EQ53" i="3"/>
  <c r="EP53" i="3"/>
  <c r="EO53" i="3"/>
  <c r="EN53" i="3"/>
  <c r="EM53" i="3"/>
  <c r="EL53" i="3"/>
  <c r="EK53" i="3"/>
  <c r="EJ53" i="3"/>
  <c r="EI53" i="3"/>
  <c r="EH53" i="3"/>
  <c r="EG53" i="3"/>
  <c r="EF53" i="3"/>
  <c r="EE53" i="3"/>
  <c r="ED53" i="3"/>
  <c r="EC53" i="3"/>
  <c r="EB53" i="3"/>
  <c r="EA53" i="3"/>
  <c r="DZ53" i="3"/>
  <c r="DY53" i="3"/>
  <c r="CU62" i="3"/>
  <c r="CT62" i="3"/>
  <c r="CO62" i="3"/>
  <c r="CS62" i="3"/>
  <c r="DA62" i="3"/>
  <c r="CJ62" i="3"/>
  <c r="CN62" i="3"/>
  <c r="CR62" i="3"/>
  <c r="CZ62" i="3"/>
  <c r="O53" i="3"/>
  <c r="T53" i="3"/>
  <c r="DG53" i="3"/>
  <c r="DH53" i="3"/>
  <c r="AC4" i="6"/>
  <c r="AC24" i="6" s="1"/>
  <c r="AC55" i="6" s="1"/>
  <c r="X29" i="6"/>
  <c r="X27" i="6"/>
  <c r="X26" i="6"/>
  <c r="X25" i="6"/>
  <c r="Y24" i="6"/>
  <c r="Y25" i="6"/>
  <c r="Y26" i="6"/>
  <c r="Y27" i="6"/>
  <c r="X28" i="6"/>
  <c r="Y28" i="6"/>
  <c r="E3" i="3"/>
  <c r="G62" i="3"/>
  <c r="AK26" i="6"/>
  <c r="AK21" i="6"/>
  <c r="AK24" i="6"/>
  <c r="AK37" i="6"/>
  <c r="AK9" i="6"/>
  <c r="V7" i="6" l="1"/>
  <c r="V38" i="6" s="1"/>
  <c r="V34" i="6"/>
  <c r="V10" i="6"/>
  <c r="V41" i="6" s="1"/>
  <c r="V5" i="6"/>
  <c r="V36" i="6" s="1"/>
  <c r="V73" i="6" s="1"/>
  <c r="V12" i="6"/>
  <c r="V43" i="6" s="1"/>
  <c r="AR37" i="6"/>
  <c r="AR33" i="6"/>
  <c r="AR29" i="6"/>
  <c r="AR25" i="6"/>
  <c r="AR21" i="6"/>
  <c r="AR17" i="6"/>
  <c r="AR13" i="6"/>
  <c r="AR9" i="6"/>
  <c r="AR5" i="6"/>
  <c r="AR39" i="6"/>
  <c r="AR35" i="6"/>
  <c r="AR27" i="6"/>
  <c r="AR23" i="6"/>
  <c r="AR15" i="6"/>
  <c r="AR11" i="6"/>
  <c r="AR30" i="6"/>
  <c r="AR18" i="6"/>
  <c r="AR10" i="6"/>
  <c r="AR40" i="6"/>
  <c r="AR36" i="6"/>
  <c r="AR32" i="6"/>
  <c r="AR28" i="6"/>
  <c r="AR24" i="6"/>
  <c r="AR20" i="6"/>
  <c r="AR16" i="6"/>
  <c r="AR12" i="6"/>
  <c r="AR8" i="6"/>
  <c r="AR31" i="6"/>
  <c r="AR19" i="6"/>
  <c r="AR7" i="6"/>
  <c r="AR38" i="6"/>
  <c r="AR34" i="6"/>
  <c r="AR26" i="6"/>
  <c r="AR22" i="6"/>
  <c r="AR14" i="6"/>
  <c r="AR6" i="6"/>
  <c r="AC20" i="6"/>
  <c r="AC51" i="6" s="1"/>
  <c r="F3" i="3"/>
  <c r="H3" i="3" s="1"/>
  <c r="U3" i="3" s="1"/>
  <c r="V3" i="3" s="1"/>
  <c r="AA3" i="3" s="1"/>
  <c r="V25" i="6"/>
  <c r="V56" i="6" s="1"/>
  <c r="V92" i="6" s="1"/>
  <c r="V11" i="6"/>
  <c r="V42" i="6" s="1"/>
  <c r="V8" i="6"/>
  <c r="V39" i="6" s="1"/>
  <c r="V13" i="6"/>
  <c r="V44" i="6" s="1"/>
  <c r="V22" i="6"/>
  <c r="V53" i="6" s="1"/>
  <c r="V32" i="6"/>
  <c r="V63" i="6" s="1"/>
  <c r="V29" i="6"/>
  <c r="V60" i="6" s="1"/>
  <c r="V6" i="6"/>
  <c r="V37" i="6" s="1"/>
  <c r="V17" i="6"/>
  <c r="V48" i="6" s="1"/>
  <c r="V20" i="6"/>
  <c r="V51" i="6" s="1"/>
  <c r="V19" i="6"/>
  <c r="V50" i="6" s="1"/>
  <c r="V9" i="6"/>
  <c r="V40" i="6" s="1"/>
  <c r="V24" i="6"/>
  <c r="V55" i="6" s="1"/>
  <c r="V30" i="6"/>
  <c r="V61" i="6" s="1"/>
  <c r="V33" i="6"/>
  <c r="V14" i="6"/>
  <c r="V45" i="6" s="1"/>
  <c r="V27" i="6"/>
  <c r="V58" i="6" s="1"/>
  <c r="V28" i="6"/>
  <c r="V59" i="6" s="1"/>
  <c r="V31" i="6"/>
  <c r="V62" i="6" s="1"/>
  <c r="V35" i="6"/>
  <c r="V23" i="6"/>
  <c r="V54" i="6" s="1"/>
  <c r="V16" i="6"/>
  <c r="V47" i="6" s="1"/>
  <c r="AK28" i="6"/>
  <c r="AK23" i="6"/>
  <c r="AK30" i="6"/>
  <c r="AK40" i="6"/>
  <c r="AK7" i="6"/>
  <c r="AK18" i="6"/>
  <c r="AK33" i="6"/>
  <c r="AK35" i="6"/>
  <c r="AK14" i="6"/>
  <c r="AK13" i="6"/>
  <c r="AK38" i="6"/>
  <c r="AK6" i="6"/>
  <c r="AK22" i="6"/>
  <c r="AK27" i="6"/>
  <c r="AF27" i="6" s="1"/>
  <c r="AF29" i="6" s="1"/>
  <c r="AK32" i="6"/>
  <c r="AK34" i="6"/>
  <c r="AK15" i="6"/>
  <c r="AK17" i="6"/>
  <c r="AM31" i="6"/>
  <c r="AM28" i="6"/>
  <c r="AF28" i="6" s="1"/>
  <c r="AF30" i="6" s="1"/>
  <c r="AM24" i="6"/>
  <c r="AM40" i="6"/>
  <c r="AM23" i="6"/>
  <c r="AM21" i="6"/>
  <c r="AM32" i="6"/>
  <c r="J25" i="6"/>
  <c r="J56" i="6" s="1"/>
  <c r="J87" i="6" s="1"/>
  <c r="J17" i="6"/>
  <c r="J48" i="6" s="1"/>
  <c r="R35" i="6"/>
  <c r="J29" i="6"/>
  <c r="J60" i="6" s="1"/>
  <c r="F32" i="6"/>
  <c r="F63" i="6" s="1"/>
  <c r="F14" i="6"/>
  <c r="F45" i="6" s="1"/>
  <c r="F13" i="6"/>
  <c r="F44" i="6" s="1"/>
  <c r="AM18" i="6"/>
  <c r="N9" i="6"/>
  <c r="N40" i="6" s="1"/>
  <c r="AM19" i="6"/>
  <c r="AM10" i="6"/>
  <c r="AM22" i="6"/>
  <c r="AM36" i="6"/>
  <c r="AM8" i="6"/>
  <c r="AM7" i="6"/>
  <c r="AM29" i="6"/>
  <c r="AM13" i="6"/>
  <c r="AM39" i="6"/>
  <c r="AM41" i="6" s="1"/>
  <c r="AM26" i="6"/>
  <c r="AM35" i="6"/>
  <c r="AM9" i="6"/>
  <c r="AM15" i="6"/>
  <c r="AM14" i="6"/>
  <c r="AM30" i="6"/>
  <c r="AM11" i="6"/>
  <c r="AM12" i="6"/>
  <c r="AM38" i="6"/>
  <c r="AM27" i="6"/>
  <c r="AM6" i="6"/>
  <c r="AM34" i="6"/>
  <c r="CE62" i="3"/>
  <c r="AM20" i="6"/>
  <c r="AM37" i="6"/>
  <c r="AM33" i="6"/>
  <c r="AC12" i="6"/>
  <c r="AC43" i="6" s="1"/>
  <c r="AM16" i="6"/>
  <c r="AM17" i="6"/>
  <c r="AM25" i="6"/>
  <c r="AC34" i="6"/>
  <c r="AK12" i="6"/>
  <c r="AK16" i="6"/>
  <c r="AK25" i="6"/>
  <c r="AK31" i="6"/>
  <c r="AK36" i="6"/>
  <c r="AK8" i="6"/>
  <c r="AK10" i="6"/>
  <c r="AK29" i="6"/>
  <c r="AK11" i="6"/>
  <c r="AK20" i="6"/>
  <c r="DW62" i="3"/>
  <c r="CI62" i="3"/>
  <c r="J19" i="6"/>
  <c r="J50" i="6" s="1"/>
  <c r="J14" i="6"/>
  <c r="J45" i="6" s="1"/>
  <c r="J33" i="6"/>
  <c r="J31" i="6"/>
  <c r="J62" i="6" s="1"/>
  <c r="J26" i="6"/>
  <c r="J57" i="6" s="1"/>
  <c r="J13" i="6"/>
  <c r="J44" i="6" s="1"/>
  <c r="J15" i="6"/>
  <c r="J46" i="6" s="1"/>
  <c r="J5" i="6"/>
  <c r="J36" i="6" s="1"/>
  <c r="J81" i="6" s="1"/>
  <c r="J35" i="6"/>
  <c r="AC32" i="6"/>
  <c r="AC63" i="6" s="1"/>
  <c r="J32" i="6"/>
  <c r="J63" i="6" s="1"/>
  <c r="J20" i="6"/>
  <c r="J51" i="6" s="1"/>
  <c r="J28" i="6"/>
  <c r="J59" i="6" s="1"/>
  <c r="J22" i="6"/>
  <c r="J53" i="6" s="1"/>
  <c r="J18" i="6"/>
  <c r="J49" i="6" s="1"/>
  <c r="V18" i="6"/>
  <c r="V49" i="6" s="1"/>
  <c r="CL62" i="3"/>
  <c r="CY62" i="3"/>
  <c r="V15" i="6"/>
  <c r="V46" i="6" s="1"/>
  <c r="V26" i="6"/>
  <c r="V57" i="6" s="1"/>
  <c r="R27" i="6"/>
  <c r="R58" i="6" s="1"/>
  <c r="R15" i="6"/>
  <c r="R46" i="6" s="1"/>
  <c r="F6" i="6"/>
  <c r="F37" i="6" s="1"/>
  <c r="F27" i="6"/>
  <c r="F58" i="6" s="1"/>
  <c r="F12" i="6"/>
  <c r="F43" i="6" s="1"/>
  <c r="F31" i="6"/>
  <c r="F62" i="6" s="1"/>
  <c r="F26" i="6"/>
  <c r="F57" i="6" s="1"/>
  <c r="F29" i="6"/>
  <c r="F60" i="6" s="1"/>
  <c r="F24" i="6"/>
  <c r="F55" i="6" s="1"/>
  <c r="F8" i="6"/>
  <c r="F39" i="6" s="1"/>
  <c r="R16" i="6"/>
  <c r="R47" i="6" s="1"/>
  <c r="R21" i="6"/>
  <c r="R52" i="6" s="1"/>
  <c r="R31" i="6"/>
  <c r="R62" i="6" s="1"/>
  <c r="R7" i="6"/>
  <c r="R38" i="6" s="1"/>
  <c r="R26" i="6"/>
  <c r="R57" i="6" s="1"/>
  <c r="R33" i="6"/>
  <c r="R29" i="6"/>
  <c r="R60" i="6" s="1"/>
  <c r="R9" i="6"/>
  <c r="R40" i="6" s="1"/>
  <c r="R19" i="6"/>
  <c r="R50" i="6" s="1"/>
  <c r="R5" i="6"/>
  <c r="R36" i="6" s="1"/>
  <c r="R75" i="6" s="1"/>
  <c r="R24" i="6"/>
  <c r="R55" i="6" s="1"/>
  <c r="R25" i="6"/>
  <c r="R56" i="6" s="1"/>
  <c r="R84" i="6" s="1"/>
  <c r="R6" i="6"/>
  <c r="R37" i="6" s="1"/>
  <c r="R23" i="6"/>
  <c r="R54" i="6" s="1"/>
  <c r="R12" i="6"/>
  <c r="R43" i="6" s="1"/>
  <c r="R10" i="6"/>
  <c r="R41" i="6" s="1"/>
  <c r="R32" i="6"/>
  <c r="R63" i="6" s="1"/>
  <c r="R28" i="6"/>
  <c r="R59" i="6" s="1"/>
  <c r="R18" i="6"/>
  <c r="R49" i="6" s="1"/>
  <c r="R14" i="6"/>
  <c r="R45" i="6" s="1"/>
  <c r="R22" i="6"/>
  <c r="R53" i="6" s="1"/>
  <c r="R17" i="6"/>
  <c r="R48" i="6" s="1"/>
  <c r="R20" i="6"/>
  <c r="R51" i="6" s="1"/>
  <c r="R30" i="6"/>
  <c r="R61" i="6" s="1"/>
  <c r="R11" i="6"/>
  <c r="R42" i="6" s="1"/>
  <c r="R8" i="6"/>
  <c r="R39" i="6" s="1"/>
  <c r="R34" i="6"/>
  <c r="CV62" i="3"/>
  <c r="CD62" i="3"/>
  <c r="J8" i="6"/>
  <c r="J39" i="6" s="1"/>
  <c r="J16" i="6"/>
  <c r="J47" i="6" s="1"/>
  <c r="J6" i="6"/>
  <c r="J37" i="6" s="1"/>
  <c r="J27" i="6"/>
  <c r="J58" i="6" s="1"/>
  <c r="J23" i="6"/>
  <c r="J54" i="6" s="1"/>
  <c r="Z34" i="6"/>
  <c r="N12" i="6"/>
  <c r="N43" i="6" s="1"/>
  <c r="N31" i="6"/>
  <c r="N62" i="6" s="1"/>
  <c r="N6" i="6"/>
  <c r="N37" i="6" s="1"/>
  <c r="N17" i="6"/>
  <c r="N48" i="6" s="1"/>
  <c r="N10" i="6"/>
  <c r="N41" i="6" s="1"/>
  <c r="N7" i="6"/>
  <c r="N38" i="6" s="1"/>
  <c r="N32" i="6"/>
  <c r="N63" i="6" s="1"/>
  <c r="CP62" i="3"/>
  <c r="BU62" i="3"/>
  <c r="L62" i="3"/>
  <c r="AT21" i="6"/>
  <c r="N5" i="6"/>
  <c r="N36" i="6" s="1"/>
  <c r="N81" i="6" s="1"/>
  <c r="Y53" i="6"/>
  <c r="CQ62" i="3"/>
  <c r="CG62" i="3"/>
  <c r="AC22" i="6"/>
  <c r="AC53" i="6" s="1"/>
  <c r="Y54" i="6"/>
  <c r="J24" i="6"/>
  <c r="J55" i="6" s="1"/>
  <c r="J9" i="6"/>
  <c r="J40" i="6" s="1"/>
  <c r="J21" i="6"/>
  <c r="J52" i="6" s="1"/>
  <c r="J12" i="6"/>
  <c r="J43" i="6" s="1"/>
  <c r="J7" i="6"/>
  <c r="J38" i="6" s="1"/>
  <c r="J30" i="6"/>
  <c r="J61" i="6" s="1"/>
  <c r="J10" i="6"/>
  <c r="J41" i="6" s="1"/>
  <c r="J11" i="6"/>
  <c r="J42" i="6" s="1"/>
  <c r="CW62" i="3"/>
  <c r="X32" i="6"/>
  <c r="AK5" i="6"/>
  <c r="AK39" i="6"/>
  <c r="AU21" i="6"/>
  <c r="CK62" i="3"/>
  <c r="N62" i="3"/>
  <c r="DF62" i="3"/>
  <c r="Q62" i="3"/>
  <c r="S62" i="3"/>
  <c r="Z62" i="3"/>
  <c r="R62" i="3"/>
  <c r="Y62" i="3"/>
  <c r="X62" i="3"/>
  <c r="AG53" i="3"/>
  <c r="AL53" i="3" s="1"/>
  <c r="CH62" i="3"/>
  <c r="AF53" i="3"/>
  <c r="AK53" i="3" s="1"/>
  <c r="Y30" i="6"/>
  <c r="AC17" i="6"/>
  <c r="AC48" i="6" s="1"/>
  <c r="AC8" i="6"/>
  <c r="AC39" i="6" s="1"/>
  <c r="AC35" i="6"/>
  <c r="AC28" i="6"/>
  <c r="AC59" i="6" s="1"/>
  <c r="AC10" i="6"/>
  <c r="AC41" i="6" s="1"/>
  <c r="AC30" i="6"/>
  <c r="AC61" i="6" s="1"/>
  <c r="AC31" i="6"/>
  <c r="AC62" i="6" s="1"/>
  <c r="AC13" i="6"/>
  <c r="AC44" i="6" s="1"/>
  <c r="AC14" i="6"/>
  <c r="AC45" i="6" s="1"/>
  <c r="AC19" i="6"/>
  <c r="AC50" i="6" s="1"/>
  <c r="AC9" i="6"/>
  <c r="AC40" i="6" s="1"/>
  <c r="AC16" i="6"/>
  <c r="AC47" i="6" s="1"/>
  <c r="AC18" i="6"/>
  <c r="AC49" i="6" s="1"/>
  <c r="AC27" i="6"/>
  <c r="AC58" i="6" s="1"/>
  <c r="AC21" i="6"/>
  <c r="AC52" i="6" s="1"/>
  <c r="AC25" i="6"/>
  <c r="AC56" i="6" s="1"/>
  <c r="AC7" i="6"/>
  <c r="AC38" i="6" s="1"/>
  <c r="AC26" i="6"/>
  <c r="AC57" i="6" s="1"/>
  <c r="AC15" i="6"/>
  <c r="AC46" i="6" s="1"/>
  <c r="AC5" i="6"/>
  <c r="AC36" i="6" s="1"/>
  <c r="AC11" i="6"/>
  <c r="AC42" i="6" s="1"/>
  <c r="AC33" i="6"/>
  <c r="AC64" i="6" s="1"/>
  <c r="AC6" i="6"/>
  <c r="AC37" i="6" s="1"/>
  <c r="AC23" i="6"/>
  <c r="AC54" i="6" s="1"/>
  <c r="AC29" i="6"/>
  <c r="AC60" i="6" s="1"/>
  <c r="Z33" i="6"/>
  <c r="Y52" i="6"/>
  <c r="F20" i="6"/>
  <c r="F51" i="6" s="1"/>
  <c r="F35" i="6"/>
  <c r="F21" i="6"/>
  <c r="F52" i="6" s="1"/>
  <c r="F9" i="6"/>
  <c r="F40" i="6" s="1"/>
  <c r="F15" i="6"/>
  <c r="F46" i="6" s="1"/>
  <c r="F16" i="6"/>
  <c r="F47" i="6" s="1"/>
  <c r="F23" i="6"/>
  <c r="F54" i="6" s="1"/>
  <c r="F30" i="6"/>
  <c r="F61" i="6" s="1"/>
  <c r="F28" i="6"/>
  <c r="F59" i="6" s="1"/>
  <c r="F34" i="6"/>
  <c r="F25" i="6"/>
  <c r="F56" i="6" s="1"/>
  <c r="F33" i="6"/>
  <c r="F5" i="6"/>
  <c r="F36" i="6" s="1"/>
  <c r="N25" i="6"/>
  <c r="N56" i="6" s="1"/>
  <c r="N11" i="6"/>
  <c r="N42" i="6" s="1"/>
  <c r="N33" i="6"/>
  <c r="N28" i="6"/>
  <c r="N59" i="6" s="1"/>
  <c r="N15" i="6"/>
  <c r="N46" i="6" s="1"/>
  <c r="N8" i="6"/>
  <c r="N39" i="6" s="1"/>
  <c r="N22" i="6"/>
  <c r="N53" i="6" s="1"/>
  <c r="N29" i="6"/>
  <c r="N60" i="6" s="1"/>
  <c r="N19" i="6"/>
  <c r="N50" i="6" s="1"/>
  <c r="N20" i="6"/>
  <c r="N51" i="6" s="1"/>
  <c r="N27" i="6"/>
  <c r="N58" i="6" s="1"/>
  <c r="N35" i="6"/>
  <c r="N30" i="6"/>
  <c r="N61" i="6" s="1"/>
  <c r="N18" i="6"/>
  <c r="N49" i="6" s="1"/>
  <c r="N16" i="6"/>
  <c r="N47" i="6" s="1"/>
  <c r="CM62" i="3"/>
  <c r="N21" i="6"/>
  <c r="N52" i="6" s="1"/>
  <c r="N26" i="6"/>
  <c r="N57" i="6" s="1"/>
  <c r="F18" i="6"/>
  <c r="F49" i="6" s="1"/>
  <c r="F11" i="6"/>
  <c r="F42" i="6" s="1"/>
  <c r="F17" i="6"/>
  <c r="F48" i="6" s="1"/>
  <c r="F10" i="6"/>
  <c r="F41" i="6" s="1"/>
  <c r="F7" i="6"/>
  <c r="F38" i="6" s="1"/>
  <c r="F22" i="6"/>
  <c r="F53" i="6" s="1"/>
  <c r="F19" i="6"/>
  <c r="F50" i="6" s="1"/>
  <c r="N34" i="6"/>
  <c r="N23" i="6"/>
  <c r="N54" i="6" s="1"/>
  <c r="N14" i="6"/>
  <c r="N45" i="6" s="1"/>
  <c r="N13" i="6"/>
  <c r="N44" i="6" s="1"/>
  <c r="DM62" i="3"/>
  <c r="M62" i="3"/>
  <c r="CF62" i="3"/>
  <c r="Z32" i="6"/>
  <c r="J88" i="6" l="1"/>
  <c r="V64" i="6"/>
  <c r="V72" i="6"/>
  <c r="V66" i="6"/>
  <c r="V68" i="6"/>
  <c r="V70" i="6"/>
  <c r="AM44" i="6"/>
  <c r="V81" i="6"/>
  <c r="V71" i="6"/>
  <c r="V74" i="6"/>
  <c r="V83" i="6"/>
  <c r="V94" i="6"/>
  <c r="V69" i="6"/>
  <c r="V76" i="6"/>
  <c r="V79" i="6"/>
  <c r="V82" i="6"/>
  <c r="V67" i="6"/>
  <c r="V77" i="6"/>
  <c r="V75" i="6"/>
  <c r="V78" i="6"/>
  <c r="V80" i="6"/>
  <c r="V88" i="6"/>
  <c r="V65" i="6"/>
  <c r="J75" i="6"/>
  <c r="J77" i="6"/>
  <c r="V85" i="6"/>
  <c r="AR67" i="6"/>
  <c r="AR48" i="6"/>
  <c r="AR56" i="6"/>
  <c r="AR64" i="6"/>
  <c r="AR43" i="6"/>
  <c r="AR51" i="6"/>
  <c r="AR59" i="6"/>
  <c r="AR44" i="6"/>
  <c r="AR60" i="6"/>
  <c r="AR47" i="6"/>
  <c r="AR42" i="6"/>
  <c r="AR50" i="6"/>
  <c r="AR58" i="6"/>
  <c r="AR66" i="6"/>
  <c r="AR45" i="6"/>
  <c r="AR53" i="6"/>
  <c r="AR61" i="6"/>
  <c r="AR52" i="6"/>
  <c r="AR68" i="6"/>
  <c r="AR55" i="6"/>
  <c r="AR63" i="6"/>
  <c r="AR54" i="6"/>
  <c r="AR57" i="6"/>
  <c r="AR41" i="6"/>
  <c r="AR46" i="6"/>
  <c r="AR49" i="6"/>
  <c r="AR62" i="6"/>
  <c r="AR65" i="6"/>
  <c r="V86" i="6"/>
  <c r="AB3" i="3"/>
  <c r="AC3" i="3" s="1"/>
  <c r="AD3" i="3" s="1"/>
  <c r="AI53" i="3"/>
  <c r="AN53" i="3" s="1"/>
  <c r="J92" i="6"/>
  <c r="J93" i="6"/>
  <c r="J86" i="6"/>
  <c r="AM62" i="6"/>
  <c r="V90" i="6"/>
  <c r="V89" i="6"/>
  <c r="V84" i="6"/>
  <c r="V121" i="6" s="1"/>
  <c r="J74" i="6"/>
  <c r="V91" i="6"/>
  <c r="V87" i="6"/>
  <c r="V93" i="6"/>
  <c r="N80" i="6"/>
  <c r="J78" i="6"/>
  <c r="AM43" i="6"/>
  <c r="AM68" i="6"/>
  <c r="AM78" i="6" s="1"/>
  <c r="J85" i="6"/>
  <c r="AM50" i="6"/>
  <c r="AM49" i="6"/>
  <c r="J94" i="6"/>
  <c r="J72" i="6"/>
  <c r="AM60" i="6"/>
  <c r="AM57" i="6"/>
  <c r="R88" i="6"/>
  <c r="R93" i="6"/>
  <c r="R87" i="6"/>
  <c r="J79" i="6"/>
  <c r="J91" i="6"/>
  <c r="J84" i="6"/>
  <c r="J121" i="6" s="1"/>
  <c r="J90" i="6"/>
  <c r="J89" i="6"/>
  <c r="AM66" i="6"/>
  <c r="AM51" i="6"/>
  <c r="AM53" i="6"/>
  <c r="AM64" i="6"/>
  <c r="AM48" i="6"/>
  <c r="AM63" i="6"/>
  <c r="AM65" i="6"/>
  <c r="AM67" i="6"/>
  <c r="R92" i="6"/>
  <c r="J66" i="6"/>
  <c r="R86" i="6"/>
  <c r="J71" i="6"/>
  <c r="V115" i="6"/>
  <c r="V148" i="6" s="1"/>
  <c r="J70" i="6"/>
  <c r="J80" i="6"/>
  <c r="J65" i="6"/>
  <c r="J82" i="6"/>
  <c r="AM59" i="6"/>
  <c r="AM61" i="6"/>
  <c r="AM46" i="6"/>
  <c r="AM47" i="6"/>
  <c r="AM54" i="6"/>
  <c r="AM55" i="6"/>
  <c r="AM42" i="6"/>
  <c r="AM52" i="6"/>
  <c r="AM56" i="6"/>
  <c r="AM45" i="6"/>
  <c r="AM58" i="6"/>
  <c r="J69" i="6"/>
  <c r="N75" i="6"/>
  <c r="R70" i="6"/>
  <c r="J64" i="6"/>
  <c r="J109" i="6" s="1"/>
  <c r="R83" i="6"/>
  <c r="DQ62" i="3"/>
  <c r="J68" i="6"/>
  <c r="J76" i="6"/>
  <c r="J83" i="6"/>
  <c r="J73" i="6"/>
  <c r="J67" i="6"/>
  <c r="R81" i="6"/>
  <c r="N79" i="6"/>
  <c r="N64" i="6"/>
  <c r="N102" i="6" s="1"/>
  <c r="R66" i="6"/>
  <c r="R82" i="6"/>
  <c r="R89" i="6"/>
  <c r="R91" i="6"/>
  <c r="R90" i="6"/>
  <c r="R94" i="6"/>
  <c r="R85" i="6"/>
  <c r="R67" i="6"/>
  <c r="R76" i="6"/>
  <c r="R79" i="6"/>
  <c r="R78" i="6"/>
  <c r="R69" i="6"/>
  <c r="R80" i="6"/>
  <c r="R64" i="6"/>
  <c r="R77" i="6"/>
  <c r="R72" i="6"/>
  <c r="R73" i="6"/>
  <c r="N78" i="6"/>
  <c r="N70" i="6"/>
  <c r="R65" i="6"/>
  <c r="R74" i="6"/>
  <c r="R68" i="6"/>
  <c r="R71" i="6"/>
  <c r="DV62" i="3"/>
  <c r="N67" i="6"/>
  <c r="N77" i="6"/>
  <c r="N72" i="6"/>
  <c r="N74" i="6"/>
  <c r="N71" i="6"/>
  <c r="N68" i="6"/>
  <c r="N73" i="6"/>
  <c r="N66" i="6"/>
  <c r="N82" i="6"/>
  <c r="N83" i="6"/>
  <c r="N65" i="6"/>
  <c r="N69" i="6"/>
  <c r="N76" i="6"/>
  <c r="AK45" i="6"/>
  <c r="AK44" i="6"/>
  <c r="AK63" i="6"/>
  <c r="AK43" i="6"/>
  <c r="AK68" i="6"/>
  <c r="AK41" i="6"/>
  <c r="AK57" i="6"/>
  <c r="AK67" i="6"/>
  <c r="AK46" i="6"/>
  <c r="AK62" i="6"/>
  <c r="AK47" i="6"/>
  <c r="AK65" i="6"/>
  <c r="AK52" i="6"/>
  <c r="AK53" i="6"/>
  <c r="AK66" i="6"/>
  <c r="AK56" i="6"/>
  <c r="AK42" i="6"/>
  <c r="AK60" i="6"/>
  <c r="AK64" i="6"/>
  <c r="AK55" i="6"/>
  <c r="AK54" i="6"/>
  <c r="AK49" i="6"/>
  <c r="AK51" i="6"/>
  <c r="AK59" i="6"/>
  <c r="AK58" i="6"/>
  <c r="AK48" i="6"/>
  <c r="AK61" i="6"/>
  <c r="AK50" i="6"/>
  <c r="DT62" i="3"/>
  <c r="AC62" i="3"/>
  <c r="V62" i="3"/>
  <c r="N92" i="6"/>
  <c r="N89" i="6"/>
  <c r="N86" i="6"/>
  <c r="N84" i="6"/>
  <c r="N90" i="6"/>
  <c r="N85" i="6"/>
  <c r="N87" i="6"/>
  <c r="N88" i="6"/>
  <c r="N93" i="6"/>
  <c r="N94" i="6"/>
  <c r="N91" i="6"/>
  <c r="K62" i="3"/>
  <c r="F81" i="6"/>
  <c r="F75" i="6"/>
  <c r="F70" i="6"/>
  <c r="F73" i="6"/>
  <c r="F69" i="6"/>
  <c r="F77" i="6"/>
  <c r="F71" i="6"/>
  <c r="F83" i="6"/>
  <c r="F66" i="6"/>
  <c r="F82" i="6"/>
  <c r="F64" i="6"/>
  <c r="F80" i="6"/>
  <c r="F65" i="6"/>
  <c r="F74" i="6"/>
  <c r="F78" i="6"/>
  <c r="F68" i="6"/>
  <c r="F79" i="6"/>
  <c r="F67" i="6"/>
  <c r="F72" i="6"/>
  <c r="F76" i="6"/>
  <c r="V112" i="6"/>
  <c r="V103" i="6"/>
  <c r="V107" i="6"/>
  <c r="V98" i="6"/>
  <c r="V95" i="6"/>
  <c r="V108" i="6"/>
  <c r="V114" i="6"/>
  <c r="V101" i="6"/>
  <c r="V96" i="6"/>
  <c r="V106" i="6"/>
  <c r="V97" i="6"/>
  <c r="V102" i="6"/>
  <c r="V110" i="6"/>
  <c r="V99" i="6"/>
  <c r="V104" i="6"/>
  <c r="V109" i="6"/>
  <c r="V111" i="6"/>
  <c r="V100" i="6"/>
  <c r="V113" i="6"/>
  <c r="V105" i="6"/>
  <c r="AC71" i="6"/>
  <c r="AC76" i="6"/>
  <c r="AC78" i="6"/>
  <c r="AC74" i="6"/>
  <c r="AC68" i="6"/>
  <c r="AC77" i="6"/>
  <c r="AC69" i="6"/>
  <c r="AC73" i="6"/>
  <c r="AC80" i="6"/>
  <c r="AC70" i="6"/>
  <c r="AC82" i="6"/>
  <c r="AC66" i="6"/>
  <c r="AC81" i="6"/>
  <c r="AC67" i="6"/>
  <c r="AC75" i="6"/>
  <c r="AC65" i="6"/>
  <c r="AC84" i="6"/>
  <c r="AC79" i="6"/>
  <c r="AC83" i="6"/>
  <c r="AC72" i="6"/>
  <c r="AC95" i="6"/>
  <c r="AC90" i="6"/>
  <c r="AC89" i="6"/>
  <c r="AC85" i="6"/>
  <c r="AC88" i="6"/>
  <c r="AC93" i="6"/>
  <c r="AC92" i="6"/>
  <c r="AC94" i="6"/>
  <c r="AC86" i="6"/>
  <c r="AC91" i="6"/>
  <c r="AC87" i="6"/>
  <c r="F85" i="6"/>
  <c r="F94" i="6"/>
  <c r="F84" i="6"/>
  <c r="F93" i="6"/>
  <c r="F89" i="6"/>
  <c r="F88" i="6"/>
  <c r="F92" i="6"/>
  <c r="F86" i="6"/>
  <c r="F87" i="6"/>
  <c r="F91" i="6"/>
  <c r="F90" i="6"/>
  <c r="R119" i="6"/>
  <c r="R115" i="6"/>
  <c r="R121" i="6"/>
  <c r="R117" i="6"/>
  <c r="R116" i="6"/>
  <c r="R118" i="6"/>
  <c r="R124" i="6"/>
  <c r="R120" i="6"/>
  <c r="R122" i="6"/>
  <c r="R123" i="6"/>
  <c r="AM81" i="6" l="1"/>
  <c r="AM69" i="6"/>
  <c r="AM83" i="6"/>
  <c r="AM98" i="6"/>
  <c r="AM93" i="6"/>
  <c r="V117" i="6"/>
  <c r="AM85" i="6"/>
  <c r="AM91" i="6"/>
  <c r="AM73" i="6"/>
  <c r="AM80" i="6"/>
  <c r="V149" i="6"/>
  <c r="AM71" i="6"/>
  <c r="AM92" i="6"/>
  <c r="AM84" i="6"/>
  <c r="AM94" i="6"/>
  <c r="AM97" i="6"/>
  <c r="AM82" i="6"/>
  <c r="AM89" i="6"/>
  <c r="V116" i="6"/>
  <c r="AM86" i="6"/>
  <c r="AM74" i="6"/>
  <c r="AM70" i="6"/>
  <c r="V122" i="6"/>
  <c r="AM72" i="6"/>
  <c r="AM88" i="6"/>
  <c r="AM96" i="6"/>
  <c r="AM87" i="6"/>
  <c r="AM79" i="6"/>
  <c r="V123" i="6"/>
  <c r="V118" i="6"/>
  <c r="V120" i="6"/>
  <c r="V119" i="6"/>
  <c r="AM76" i="6"/>
  <c r="AM99" i="6"/>
  <c r="AM121" i="6" s="1"/>
  <c r="AM75" i="6"/>
  <c r="AR95" i="6"/>
  <c r="AR87" i="6"/>
  <c r="AR79" i="6"/>
  <c r="AR71" i="6"/>
  <c r="AR94" i="6"/>
  <c r="AR86" i="6"/>
  <c r="AR78" i="6"/>
  <c r="AR70" i="6"/>
  <c r="AR99" i="6"/>
  <c r="AR83" i="6"/>
  <c r="AR75" i="6"/>
  <c r="AR98" i="6"/>
  <c r="AR82" i="6"/>
  <c r="AR74" i="6"/>
  <c r="AR81" i="6"/>
  <c r="AR96" i="6"/>
  <c r="AR72" i="6"/>
  <c r="AR93" i="6"/>
  <c r="AR85" i="6"/>
  <c r="AR77" i="6"/>
  <c r="AR69" i="6"/>
  <c r="AR92" i="6"/>
  <c r="AR84" i="6"/>
  <c r="AR76" i="6"/>
  <c r="AR91" i="6"/>
  <c r="AR90" i="6"/>
  <c r="AR97" i="6"/>
  <c r="AR89" i="6"/>
  <c r="AR73" i="6"/>
  <c r="AR88" i="6"/>
  <c r="AR80" i="6"/>
  <c r="AG3" i="3"/>
  <c r="AH3" i="3" s="1"/>
  <c r="AI3" i="3" s="1"/>
  <c r="AK3" i="3" s="1"/>
  <c r="AL3" i="3" s="1"/>
  <c r="AM3" i="3" s="1"/>
  <c r="AN3" i="3" s="1"/>
  <c r="AP3" i="3" s="1"/>
  <c r="AQ3" i="3" s="1"/>
  <c r="AR3" i="3" s="1"/>
  <c r="AS3" i="3" s="1"/>
  <c r="AU3" i="3" s="1"/>
  <c r="AV3" i="3" s="1"/>
  <c r="AW3" i="3" s="1"/>
  <c r="AX3" i="3" s="1"/>
  <c r="AZ3" i="3" s="1"/>
  <c r="BA3" i="3" s="1"/>
  <c r="BB3" i="3" s="1"/>
  <c r="BC3" i="3" s="1"/>
  <c r="BE3" i="3" s="1"/>
  <c r="BF3" i="3" s="1"/>
  <c r="BG3" i="3" s="1"/>
  <c r="BH3" i="3" s="1"/>
  <c r="BM3" i="3" s="1"/>
  <c r="BN3" i="3" s="1"/>
  <c r="BO3" i="3" s="1"/>
  <c r="BP3" i="3" s="1"/>
  <c r="BR3" i="3" s="1"/>
  <c r="BT3" i="3" s="1"/>
  <c r="BV3" i="3" s="1"/>
  <c r="BW3" i="3" s="1"/>
  <c r="BX3" i="3" s="1"/>
  <c r="BY3" i="3" s="1"/>
  <c r="BZ3" i="3" s="1"/>
  <c r="CA3" i="3" s="1"/>
  <c r="CB3" i="3" s="1"/>
  <c r="CC3" i="3" s="1"/>
  <c r="V124" i="6"/>
  <c r="AM77" i="6"/>
  <c r="AM90" i="6"/>
  <c r="AM95" i="6"/>
  <c r="J119" i="6"/>
  <c r="V151" i="6"/>
  <c r="V146" i="6"/>
  <c r="J123" i="6"/>
  <c r="J124" i="6"/>
  <c r="J120" i="6"/>
  <c r="V150" i="6"/>
  <c r="J116" i="6"/>
  <c r="J122" i="6"/>
  <c r="V147" i="6"/>
  <c r="J115" i="6"/>
  <c r="J153" i="6" s="1"/>
  <c r="N100" i="6"/>
  <c r="N110" i="6"/>
  <c r="N96" i="6"/>
  <c r="N135" i="6" s="1"/>
  <c r="N95" i="6"/>
  <c r="AM111" i="6"/>
  <c r="N112" i="6"/>
  <c r="AM102" i="6"/>
  <c r="N114" i="6"/>
  <c r="AM122" i="6"/>
  <c r="AM124" i="6"/>
  <c r="N98" i="6"/>
  <c r="N99" i="6"/>
  <c r="N101" i="6"/>
  <c r="J102" i="6"/>
  <c r="AM128" i="6"/>
  <c r="N97" i="6"/>
  <c r="N103" i="6"/>
  <c r="N111" i="6"/>
  <c r="N107" i="6"/>
  <c r="N113" i="6"/>
  <c r="AM117" i="6"/>
  <c r="AM104" i="6"/>
  <c r="AM129" i="6"/>
  <c r="AM134" i="6" s="1"/>
  <c r="N105" i="6"/>
  <c r="N108" i="6"/>
  <c r="N104" i="6"/>
  <c r="N109" i="6"/>
  <c r="N106" i="6"/>
  <c r="J101" i="6"/>
  <c r="AM116" i="6"/>
  <c r="AM114" i="6"/>
  <c r="AM115" i="6"/>
  <c r="DR62" i="3"/>
  <c r="J118" i="6"/>
  <c r="J117" i="6"/>
  <c r="J107" i="6"/>
  <c r="J95" i="6"/>
  <c r="J100" i="6"/>
  <c r="AH62" i="3"/>
  <c r="V154" i="6"/>
  <c r="V155" i="6"/>
  <c r="V152" i="6"/>
  <c r="V153" i="6"/>
  <c r="V145" i="6"/>
  <c r="V181" i="6" s="1"/>
  <c r="DU62" i="3"/>
  <c r="DS62" i="3"/>
  <c r="AJ53" i="3"/>
  <c r="J97" i="6"/>
  <c r="J98" i="6"/>
  <c r="J110" i="6"/>
  <c r="J105" i="6"/>
  <c r="J108" i="6"/>
  <c r="J104" i="6"/>
  <c r="J106" i="6"/>
  <c r="J111" i="6"/>
  <c r="J112" i="6"/>
  <c r="J99" i="6"/>
  <c r="J113" i="6"/>
  <c r="J103" i="6"/>
  <c r="J114" i="6"/>
  <c r="J96" i="6"/>
  <c r="J125" i="6" s="1"/>
  <c r="DP62" i="3"/>
  <c r="DL62" i="3"/>
  <c r="O62" i="3"/>
  <c r="R111" i="6"/>
  <c r="R103" i="6"/>
  <c r="R113" i="6"/>
  <c r="R101" i="6"/>
  <c r="R95" i="6"/>
  <c r="R99" i="6"/>
  <c r="R100" i="6"/>
  <c r="R107" i="6"/>
  <c r="R104" i="6"/>
  <c r="R105" i="6"/>
  <c r="R112" i="6"/>
  <c r="R96" i="6"/>
  <c r="R102" i="6"/>
  <c r="R108" i="6"/>
  <c r="R109" i="6"/>
  <c r="R97" i="6"/>
  <c r="R106" i="6"/>
  <c r="R110" i="6"/>
  <c r="R114" i="6"/>
  <c r="R98" i="6"/>
  <c r="P62" i="3"/>
  <c r="DN62" i="3"/>
  <c r="DO62" i="3"/>
  <c r="AK93" i="6"/>
  <c r="AK84" i="6"/>
  <c r="AK89" i="6"/>
  <c r="AK98" i="6"/>
  <c r="AK85" i="6"/>
  <c r="AK74" i="6"/>
  <c r="AK70" i="6"/>
  <c r="AK99" i="6"/>
  <c r="AK77" i="6"/>
  <c r="AK76" i="6"/>
  <c r="AK73" i="6"/>
  <c r="AK69" i="6"/>
  <c r="AK83" i="6"/>
  <c r="AK81" i="6"/>
  <c r="AK88" i="6"/>
  <c r="AK80" i="6"/>
  <c r="AK72" i="6"/>
  <c r="AK92" i="6"/>
  <c r="AK90" i="6"/>
  <c r="AK95" i="6"/>
  <c r="AK91" i="6"/>
  <c r="AK87" i="6"/>
  <c r="AK82" i="6"/>
  <c r="AK79" i="6"/>
  <c r="AK71" i="6"/>
  <c r="AK78" i="6"/>
  <c r="AK75" i="6"/>
  <c r="AK97" i="6"/>
  <c r="AK86" i="6"/>
  <c r="AK96" i="6"/>
  <c r="AK94" i="6"/>
  <c r="AB62" i="3"/>
  <c r="N120" i="6"/>
  <c r="N123" i="6"/>
  <c r="N118" i="6"/>
  <c r="N124" i="6"/>
  <c r="N115" i="6"/>
  <c r="N121" i="6"/>
  <c r="N122" i="6"/>
  <c r="N117" i="6"/>
  <c r="N116" i="6"/>
  <c r="N119" i="6"/>
  <c r="F115" i="6"/>
  <c r="F122" i="6"/>
  <c r="F121" i="6"/>
  <c r="F116" i="6"/>
  <c r="F124" i="6"/>
  <c r="F120" i="6"/>
  <c r="F117" i="6"/>
  <c r="F119" i="6"/>
  <c r="F118" i="6"/>
  <c r="F123" i="6"/>
  <c r="F101" i="6"/>
  <c r="F96" i="6"/>
  <c r="F109" i="6"/>
  <c r="F100" i="6"/>
  <c r="F99" i="6"/>
  <c r="F112" i="6"/>
  <c r="F103" i="6"/>
  <c r="F114" i="6"/>
  <c r="F111" i="6"/>
  <c r="F108" i="6"/>
  <c r="F102" i="6"/>
  <c r="F105" i="6"/>
  <c r="F110" i="6"/>
  <c r="F97" i="6"/>
  <c r="F104" i="6"/>
  <c r="F95" i="6"/>
  <c r="F98" i="6"/>
  <c r="F113" i="6"/>
  <c r="F107" i="6"/>
  <c r="F106" i="6"/>
  <c r="AC117" i="6"/>
  <c r="AC124" i="6"/>
  <c r="AC123" i="6"/>
  <c r="AC119" i="6"/>
  <c r="AC125" i="6"/>
  <c r="AC120" i="6"/>
  <c r="AC118" i="6"/>
  <c r="AC121" i="6"/>
  <c r="AC122" i="6"/>
  <c r="AC116" i="6"/>
  <c r="AC108" i="6"/>
  <c r="AC109" i="6"/>
  <c r="AC110" i="6"/>
  <c r="AC104" i="6"/>
  <c r="AC113" i="6"/>
  <c r="AC97" i="6"/>
  <c r="AC100" i="6"/>
  <c r="AC107" i="6"/>
  <c r="AC102" i="6"/>
  <c r="AC98" i="6"/>
  <c r="AC106" i="6"/>
  <c r="AC114" i="6"/>
  <c r="AC105" i="6"/>
  <c r="AC101" i="6"/>
  <c r="AC115" i="6"/>
  <c r="AC96" i="6"/>
  <c r="AC99" i="6"/>
  <c r="AC112" i="6"/>
  <c r="AC111" i="6"/>
  <c r="AC103" i="6"/>
  <c r="V138" i="6"/>
  <c r="V125" i="6"/>
  <c r="V127" i="6"/>
  <c r="V144" i="6"/>
  <c r="V139" i="6"/>
  <c r="V133" i="6"/>
  <c r="V136" i="6"/>
  <c r="V143" i="6"/>
  <c r="V132" i="6"/>
  <c r="V141" i="6"/>
  <c r="V126" i="6"/>
  <c r="V129" i="6"/>
  <c r="V140" i="6"/>
  <c r="V135" i="6"/>
  <c r="V142" i="6"/>
  <c r="V137" i="6"/>
  <c r="V130" i="6"/>
  <c r="V131" i="6"/>
  <c r="V134" i="6"/>
  <c r="V128" i="6"/>
  <c r="J140" i="6"/>
  <c r="R146" i="6"/>
  <c r="R145" i="6"/>
  <c r="R151" i="6"/>
  <c r="R150" i="6"/>
  <c r="R155" i="6"/>
  <c r="R154" i="6"/>
  <c r="R149" i="6"/>
  <c r="R147" i="6"/>
  <c r="R148" i="6"/>
  <c r="R153" i="6"/>
  <c r="R152" i="6"/>
  <c r="AM131" i="6" l="1"/>
  <c r="N126" i="6"/>
  <c r="J143" i="6"/>
  <c r="AM106" i="6"/>
  <c r="AM105" i="6"/>
  <c r="AM101" i="6"/>
  <c r="AM110" i="6"/>
  <c r="AM112" i="6"/>
  <c r="N137" i="6"/>
  <c r="J136" i="6"/>
  <c r="J152" i="6"/>
  <c r="AM125" i="6"/>
  <c r="AM107" i="6"/>
  <c r="AM120" i="6"/>
  <c r="AM109" i="6"/>
  <c r="AM100" i="6"/>
  <c r="AM127" i="6"/>
  <c r="N130" i="6"/>
  <c r="N133" i="6"/>
  <c r="J129" i="6"/>
  <c r="AM119" i="6"/>
  <c r="AM126" i="6"/>
  <c r="AM103" i="6"/>
  <c r="AM118" i="6"/>
  <c r="AM123" i="6"/>
  <c r="AM113" i="6"/>
  <c r="AM108" i="6"/>
  <c r="V184" i="6"/>
  <c r="J145" i="6"/>
  <c r="AR125" i="6"/>
  <c r="AR117" i="6"/>
  <c r="AR109" i="6"/>
  <c r="AR101" i="6"/>
  <c r="AR122" i="6"/>
  <c r="AR114" i="6"/>
  <c r="AR106" i="6"/>
  <c r="AR129" i="6"/>
  <c r="AR121" i="6"/>
  <c r="AR113" i="6"/>
  <c r="AR105" i="6"/>
  <c r="AR118" i="6"/>
  <c r="AR110" i="6"/>
  <c r="AR102" i="6"/>
  <c r="AR119" i="6"/>
  <c r="AR103" i="6"/>
  <c r="AR108" i="6"/>
  <c r="AR123" i="6"/>
  <c r="AR115" i="6"/>
  <c r="AR107" i="6"/>
  <c r="AR128" i="6"/>
  <c r="AR120" i="6"/>
  <c r="AR112" i="6"/>
  <c r="AR104" i="6"/>
  <c r="AR126" i="6"/>
  <c r="AR127" i="6"/>
  <c r="AR111" i="6"/>
  <c r="AR124" i="6"/>
  <c r="AR116" i="6"/>
  <c r="AR100" i="6"/>
  <c r="V177" i="6"/>
  <c r="V180" i="6"/>
  <c r="AM62" i="3"/>
  <c r="J155" i="6"/>
  <c r="J147" i="6"/>
  <c r="J150" i="6"/>
  <c r="J154" i="6"/>
  <c r="V183" i="6"/>
  <c r="N127" i="6"/>
  <c r="V182" i="6"/>
  <c r="V176" i="6"/>
  <c r="V206" i="6" s="1"/>
  <c r="V178" i="6"/>
  <c r="V185" i="6"/>
  <c r="V179" i="6"/>
  <c r="N125" i="6"/>
  <c r="N170" i="6" s="1"/>
  <c r="N139" i="6"/>
  <c r="N140" i="6"/>
  <c r="N143" i="6"/>
  <c r="N136" i="6"/>
  <c r="N129" i="6"/>
  <c r="N131" i="6"/>
  <c r="N128" i="6"/>
  <c r="N141" i="6"/>
  <c r="N144" i="6"/>
  <c r="AM144" i="6"/>
  <c r="N138" i="6"/>
  <c r="N134" i="6"/>
  <c r="N132" i="6"/>
  <c r="N142" i="6"/>
  <c r="J151" i="6"/>
  <c r="J149" i="6"/>
  <c r="J148" i="6"/>
  <c r="J146" i="6"/>
  <c r="AM135" i="6"/>
  <c r="AM151" i="6"/>
  <c r="AM158" i="6"/>
  <c r="AM140" i="6"/>
  <c r="AM152" i="6"/>
  <c r="J132" i="6"/>
  <c r="J142" i="6"/>
  <c r="J127" i="6"/>
  <c r="J128" i="6"/>
  <c r="J133" i="6"/>
  <c r="J139" i="6"/>
  <c r="AM139" i="6"/>
  <c r="AM154" i="6"/>
  <c r="AM150" i="6"/>
  <c r="AM148" i="6"/>
  <c r="AM157" i="6"/>
  <c r="AM149" i="6"/>
  <c r="AM133" i="6"/>
  <c r="AM153" i="6"/>
  <c r="AM141" i="6"/>
  <c r="AM146" i="6"/>
  <c r="AM160" i="6"/>
  <c r="AM182" i="6" s="1"/>
  <c r="AM138" i="6"/>
  <c r="AM147" i="6"/>
  <c r="AM136" i="6"/>
  <c r="AM130" i="6"/>
  <c r="AM137" i="6"/>
  <c r="AM142" i="6"/>
  <c r="AM156" i="6"/>
  <c r="AM155" i="6"/>
  <c r="AM132" i="6"/>
  <c r="AM145" i="6"/>
  <c r="AM159" i="6"/>
  <c r="AM143" i="6"/>
  <c r="J130" i="6"/>
  <c r="J131" i="6"/>
  <c r="J126" i="6"/>
  <c r="J138" i="6"/>
  <c r="J141" i="6"/>
  <c r="J134" i="6"/>
  <c r="J144" i="6"/>
  <c r="J135" i="6"/>
  <c r="J137" i="6"/>
  <c r="U62" i="3"/>
  <c r="R127" i="6"/>
  <c r="R141" i="6"/>
  <c r="R126" i="6"/>
  <c r="R143" i="6"/>
  <c r="R134" i="6"/>
  <c r="R129" i="6"/>
  <c r="R132" i="6"/>
  <c r="R131" i="6"/>
  <c r="R136" i="6"/>
  <c r="R130" i="6"/>
  <c r="R138" i="6"/>
  <c r="R140" i="6"/>
  <c r="R128" i="6"/>
  <c r="R135" i="6"/>
  <c r="R142" i="6"/>
  <c r="R139" i="6"/>
  <c r="R137" i="6"/>
  <c r="R144" i="6"/>
  <c r="R125" i="6"/>
  <c r="R133" i="6"/>
  <c r="T62" i="3"/>
  <c r="AK100" i="6"/>
  <c r="AK106" i="6"/>
  <c r="AK124" i="6"/>
  <c r="AK121" i="6"/>
  <c r="AK110" i="6"/>
  <c r="AK103" i="6"/>
  <c r="AK119" i="6"/>
  <c r="AK127" i="6"/>
  <c r="AK107" i="6"/>
  <c r="AK101" i="6"/>
  <c r="AK123" i="6"/>
  <c r="AK108" i="6"/>
  <c r="AK118" i="6"/>
  <c r="AK125" i="6"/>
  <c r="AK109" i="6"/>
  <c r="AK111" i="6"/>
  <c r="AK120" i="6"/>
  <c r="AK116" i="6"/>
  <c r="AK105" i="6"/>
  <c r="AK126" i="6"/>
  <c r="AK129" i="6"/>
  <c r="AK115" i="6"/>
  <c r="AK112" i="6"/>
  <c r="AK104" i="6"/>
  <c r="AK113" i="6"/>
  <c r="AK117" i="6"/>
  <c r="AK114" i="6"/>
  <c r="AK122" i="6"/>
  <c r="AK128" i="6"/>
  <c r="AK102" i="6"/>
  <c r="AG62" i="3"/>
  <c r="V166" i="6"/>
  <c r="V164" i="6"/>
  <c r="V162" i="6"/>
  <c r="V160" i="6"/>
  <c r="V156" i="6"/>
  <c r="V171" i="6"/>
  <c r="V172" i="6"/>
  <c r="V169" i="6"/>
  <c r="V157" i="6"/>
  <c r="V163" i="6"/>
  <c r="V173" i="6"/>
  <c r="V159" i="6"/>
  <c r="V174" i="6"/>
  <c r="V161" i="6"/>
  <c r="V175" i="6"/>
  <c r="V168" i="6"/>
  <c r="V158" i="6"/>
  <c r="V170" i="6"/>
  <c r="V167" i="6"/>
  <c r="V165" i="6"/>
  <c r="R177" i="6"/>
  <c r="R180" i="6"/>
  <c r="R182" i="6"/>
  <c r="R176" i="6"/>
  <c r="R183" i="6"/>
  <c r="R178" i="6"/>
  <c r="R185" i="6"/>
  <c r="R184" i="6"/>
  <c r="R179" i="6"/>
  <c r="R181" i="6"/>
  <c r="F134" i="6"/>
  <c r="F125" i="6"/>
  <c r="F139" i="6"/>
  <c r="F132" i="6"/>
  <c r="F144" i="6"/>
  <c r="F131" i="6"/>
  <c r="F130" i="6"/>
  <c r="F136" i="6"/>
  <c r="F142" i="6"/>
  <c r="F129" i="6"/>
  <c r="F133" i="6"/>
  <c r="F140" i="6"/>
  <c r="F128" i="6"/>
  <c r="F126" i="6"/>
  <c r="F137" i="6"/>
  <c r="F127" i="6"/>
  <c r="F135" i="6"/>
  <c r="F143" i="6"/>
  <c r="F138" i="6"/>
  <c r="F141" i="6"/>
  <c r="N153" i="6"/>
  <c r="N147" i="6"/>
  <c r="N148" i="6"/>
  <c r="N151" i="6"/>
  <c r="N155" i="6"/>
  <c r="N149" i="6"/>
  <c r="N154" i="6"/>
  <c r="N150" i="6"/>
  <c r="N146" i="6"/>
  <c r="N145" i="6"/>
  <c r="N152" i="6"/>
  <c r="AM172" i="6"/>
  <c r="J174" i="6"/>
  <c r="J158" i="6"/>
  <c r="J162" i="6"/>
  <c r="J165" i="6"/>
  <c r="J166" i="6"/>
  <c r="J167" i="6"/>
  <c r="J175" i="6"/>
  <c r="J156" i="6"/>
  <c r="J160" i="6"/>
  <c r="J171" i="6"/>
  <c r="J163" i="6"/>
  <c r="J164" i="6"/>
  <c r="J168" i="6"/>
  <c r="J169" i="6"/>
  <c r="J157" i="6"/>
  <c r="J172" i="6"/>
  <c r="J173" i="6"/>
  <c r="J170" i="6"/>
  <c r="J159" i="6"/>
  <c r="J161" i="6"/>
  <c r="F147" i="6"/>
  <c r="F151" i="6"/>
  <c r="F155" i="6"/>
  <c r="F146" i="6"/>
  <c r="F154" i="6"/>
  <c r="F152" i="6"/>
  <c r="F148" i="6"/>
  <c r="F153" i="6"/>
  <c r="F149" i="6"/>
  <c r="F150" i="6"/>
  <c r="F145" i="6"/>
  <c r="N158" i="6"/>
  <c r="N166" i="6"/>
  <c r="AC135" i="6"/>
  <c r="AC138" i="6"/>
  <c r="AC137" i="6"/>
  <c r="AC133" i="6"/>
  <c r="AC139" i="6"/>
  <c r="AC134" i="6"/>
  <c r="AC126" i="6"/>
  <c r="AC143" i="6"/>
  <c r="AC140" i="6"/>
  <c r="AC132" i="6"/>
  <c r="AC136" i="6"/>
  <c r="AC142" i="6"/>
  <c r="AC129" i="6"/>
  <c r="AC131" i="6"/>
  <c r="AC127" i="6"/>
  <c r="AC144" i="6"/>
  <c r="AC128" i="6"/>
  <c r="AC130" i="6"/>
  <c r="AC145" i="6"/>
  <c r="AC141" i="6"/>
  <c r="AC148" i="6"/>
  <c r="AC155" i="6"/>
  <c r="AC152" i="6"/>
  <c r="AC151" i="6"/>
  <c r="AC154" i="6"/>
  <c r="AC147" i="6"/>
  <c r="AC146" i="6"/>
  <c r="AC149" i="6"/>
  <c r="AC153" i="6"/>
  <c r="AC150" i="6"/>
  <c r="AC156" i="6"/>
  <c r="AO53" i="3"/>
  <c r="V215" i="6"/>
  <c r="AM189" i="6" l="1"/>
  <c r="AM170" i="6"/>
  <c r="AM171" i="6"/>
  <c r="N164" i="6"/>
  <c r="AM173" i="6"/>
  <c r="AM177" i="6"/>
  <c r="N173" i="6"/>
  <c r="AR159" i="6"/>
  <c r="AR151" i="6"/>
  <c r="AR143" i="6"/>
  <c r="AR135" i="6"/>
  <c r="AR158" i="6"/>
  <c r="AR150" i="6"/>
  <c r="AR142" i="6"/>
  <c r="AR134" i="6"/>
  <c r="AR147" i="6"/>
  <c r="AR139" i="6"/>
  <c r="AR154" i="6"/>
  <c r="AR146" i="6"/>
  <c r="AR130" i="6"/>
  <c r="AR153" i="6"/>
  <c r="AR145" i="6"/>
  <c r="AR160" i="6"/>
  <c r="AR152" i="6"/>
  <c r="AR136" i="6"/>
  <c r="AR157" i="6"/>
  <c r="AR149" i="6"/>
  <c r="AR141" i="6"/>
  <c r="AR133" i="6"/>
  <c r="AR156" i="6"/>
  <c r="AR148" i="6"/>
  <c r="AR140" i="6"/>
  <c r="AR132" i="6"/>
  <c r="AR155" i="6"/>
  <c r="AR131" i="6"/>
  <c r="AR138" i="6"/>
  <c r="AR137" i="6"/>
  <c r="AR144" i="6"/>
  <c r="J183" i="6"/>
  <c r="J179" i="6"/>
  <c r="J176" i="6"/>
  <c r="J181" i="6"/>
  <c r="J180" i="6"/>
  <c r="J184" i="6"/>
  <c r="J185" i="6"/>
  <c r="J182" i="6"/>
  <c r="J178" i="6"/>
  <c r="J177" i="6"/>
  <c r="V207" i="6"/>
  <c r="N162" i="6"/>
  <c r="AM163" i="6"/>
  <c r="AM162" i="6"/>
  <c r="N172" i="6"/>
  <c r="N168" i="6"/>
  <c r="AM174" i="6"/>
  <c r="AM185" i="6"/>
  <c r="AM180" i="6"/>
  <c r="V210" i="6"/>
  <c r="N163" i="6"/>
  <c r="N160" i="6"/>
  <c r="N167" i="6"/>
  <c r="AM186" i="6"/>
  <c r="AM175" i="6"/>
  <c r="AM164" i="6"/>
  <c r="AM183" i="6"/>
  <c r="DM3" i="3"/>
  <c r="DN3" i="3" s="1"/>
  <c r="DO3" i="3" s="1"/>
  <c r="DP3" i="3" s="1"/>
  <c r="DQ3" i="3" s="1"/>
  <c r="DR3" i="3" s="1"/>
  <c r="DS3" i="3" s="1"/>
  <c r="DT3" i="3" s="1"/>
  <c r="DU3" i="3" s="1"/>
  <c r="DV3" i="3" s="1"/>
  <c r="DW3" i="3" s="1"/>
  <c r="DE3" i="3"/>
  <c r="DF3" i="3" s="1"/>
  <c r="DG3" i="3" s="1"/>
  <c r="DH3" i="3" s="1"/>
  <c r="DI3" i="3" s="1"/>
  <c r="DJ3" i="3" s="1"/>
  <c r="V216" i="6"/>
  <c r="V214" i="6"/>
  <c r="V209" i="6"/>
  <c r="V213" i="6"/>
  <c r="V212" i="6"/>
  <c r="V208" i="6"/>
  <c r="V211" i="6"/>
  <c r="N169" i="6"/>
  <c r="N165" i="6"/>
  <c r="N171" i="6"/>
  <c r="N174" i="6"/>
  <c r="N161" i="6"/>
  <c r="AM188" i="6"/>
  <c r="AM165" i="6"/>
  <c r="AM178" i="6"/>
  <c r="AM169" i="6"/>
  <c r="AM161" i="6"/>
  <c r="AM179" i="6"/>
  <c r="AM181" i="6"/>
  <c r="AM176" i="6"/>
  <c r="N156" i="6"/>
  <c r="N175" i="6"/>
  <c r="N157" i="6"/>
  <c r="N194" i="6" s="1"/>
  <c r="N159" i="6"/>
  <c r="AM168" i="6"/>
  <c r="AM184" i="6"/>
  <c r="AM166" i="6"/>
  <c r="AM167" i="6"/>
  <c r="AM187" i="6"/>
  <c r="AM190" i="6"/>
  <c r="AM194" i="6" s="1"/>
  <c r="R166" i="6"/>
  <c r="R174" i="6"/>
  <c r="R173" i="6"/>
  <c r="R159" i="6"/>
  <c r="R157" i="6"/>
  <c r="R167" i="6"/>
  <c r="R158" i="6"/>
  <c r="R162" i="6"/>
  <c r="R164" i="6"/>
  <c r="R156" i="6"/>
  <c r="R170" i="6"/>
  <c r="R160" i="6"/>
  <c r="R171" i="6"/>
  <c r="R169" i="6"/>
  <c r="R163" i="6"/>
  <c r="R172" i="6"/>
  <c r="R168" i="6"/>
  <c r="R161" i="6"/>
  <c r="R175" i="6"/>
  <c r="R165" i="6"/>
  <c r="AK148" i="6"/>
  <c r="AK142" i="6"/>
  <c r="AK138" i="6"/>
  <c r="AK153" i="6"/>
  <c r="AK145" i="6"/>
  <c r="AK151" i="6"/>
  <c r="AK149" i="6"/>
  <c r="AK156" i="6"/>
  <c r="AK144" i="6"/>
  <c r="AK160" i="6"/>
  <c r="AK140" i="6"/>
  <c r="AK146" i="6"/>
  <c r="AK136" i="6"/>
  <c r="AK137" i="6"/>
  <c r="AK131" i="6"/>
  <c r="AK141" i="6"/>
  <c r="AK159" i="6"/>
  <c r="AK154" i="6"/>
  <c r="AK143" i="6"/>
  <c r="AK150" i="6"/>
  <c r="AK147" i="6"/>
  <c r="AK130" i="6"/>
  <c r="AK134" i="6"/>
  <c r="AK139" i="6"/>
  <c r="AK152" i="6"/>
  <c r="AK135" i="6"/>
  <c r="AK157" i="6"/>
  <c r="AK158" i="6"/>
  <c r="AK133" i="6"/>
  <c r="AK155" i="6"/>
  <c r="AK132" i="6"/>
  <c r="AL62" i="3"/>
  <c r="AM198" i="6"/>
  <c r="N180" i="6"/>
  <c r="N179" i="6"/>
  <c r="N176" i="6"/>
  <c r="N185" i="6"/>
  <c r="N181" i="6"/>
  <c r="N184" i="6"/>
  <c r="N178" i="6"/>
  <c r="N183" i="6"/>
  <c r="N177" i="6"/>
  <c r="N182" i="6"/>
  <c r="V199" i="6"/>
  <c r="V188" i="6"/>
  <c r="V186" i="6"/>
  <c r="V197" i="6"/>
  <c r="V200" i="6"/>
  <c r="V205" i="6"/>
  <c r="V196" i="6"/>
  <c r="V187" i="6"/>
  <c r="V203" i="6"/>
  <c r="V198" i="6"/>
  <c r="V189" i="6"/>
  <c r="V195" i="6"/>
  <c r="V191" i="6"/>
  <c r="V194" i="6"/>
  <c r="V204" i="6"/>
  <c r="V190" i="6"/>
  <c r="V193" i="6"/>
  <c r="V201" i="6"/>
  <c r="V202" i="6"/>
  <c r="V192" i="6"/>
  <c r="AC177" i="6"/>
  <c r="AC183" i="6"/>
  <c r="AC181" i="6"/>
  <c r="AC186" i="6"/>
  <c r="AC185" i="6"/>
  <c r="AC184" i="6"/>
  <c r="AC179" i="6"/>
  <c r="AC182" i="6"/>
  <c r="AC178" i="6"/>
  <c r="AC180" i="6"/>
  <c r="AC165" i="6"/>
  <c r="AC159" i="6"/>
  <c r="AC158" i="6"/>
  <c r="AC162" i="6"/>
  <c r="AC173" i="6"/>
  <c r="AC172" i="6"/>
  <c r="AC164" i="6"/>
  <c r="AC175" i="6"/>
  <c r="AC169" i="6"/>
  <c r="AC170" i="6"/>
  <c r="AC168" i="6"/>
  <c r="AC167" i="6"/>
  <c r="AC171" i="6"/>
  <c r="AC176" i="6"/>
  <c r="AC166" i="6"/>
  <c r="AC163" i="6"/>
  <c r="AC160" i="6"/>
  <c r="AC161" i="6"/>
  <c r="AC157" i="6"/>
  <c r="AC174" i="6"/>
  <c r="V237" i="6"/>
  <c r="V243" i="6"/>
  <c r="V244" i="6"/>
  <c r="V247" i="6"/>
  <c r="V245" i="6"/>
  <c r="V242" i="6"/>
  <c r="V241" i="6"/>
  <c r="V246" i="6"/>
  <c r="V240" i="6"/>
  <c r="V239" i="6"/>
  <c r="V238" i="6"/>
  <c r="W62" i="3"/>
  <c r="F176" i="6"/>
  <c r="F180" i="6"/>
  <c r="F182" i="6"/>
  <c r="F185" i="6"/>
  <c r="F177" i="6"/>
  <c r="F179" i="6"/>
  <c r="F178" i="6"/>
  <c r="F184" i="6"/>
  <c r="F181" i="6"/>
  <c r="F183" i="6"/>
  <c r="J193" i="6"/>
  <c r="J200" i="6"/>
  <c r="J201" i="6"/>
  <c r="J191" i="6"/>
  <c r="J189" i="6"/>
  <c r="J194" i="6"/>
  <c r="J196" i="6"/>
  <c r="J205" i="6"/>
  <c r="J188" i="6"/>
  <c r="J199" i="6"/>
  <c r="J197" i="6"/>
  <c r="J195" i="6"/>
  <c r="J202" i="6"/>
  <c r="J198" i="6"/>
  <c r="J187" i="6"/>
  <c r="J204" i="6"/>
  <c r="J190" i="6"/>
  <c r="J192" i="6"/>
  <c r="J203" i="6"/>
  <c r="J186" i="6"/>
  <c r="F156" i="6"/>
  <c r="F168" i="6"/>
  <c r="F166" i="6"/>
  <c r="F162" i="6"/>
  <c r="F165" i="6"/>
  <c r="F169" i="6"/>
  <c r="F173" i="6"/>
  <c r="F175" i="6"/>
  <c r="F167" i="6"/>
  <c r="F160" i="6"/>
  <c r="F164" i="6"/>
  <c r="F157" i="6"/>
  <c r="F171" i="6"/>
  <c r="F163" i="6"/>
  <c r="F170" i="6"/>
  <c r="F159" i="6"/>
  <c r="F174" i="6"/>
  <c r="F161" i="6"/>
  <c r="F172" i="6"/>
  <c r="F158" i="6"/>
  <c r="R208" i="6"/>
  <c r="R214" i="6"/>
  <c r="R213" i="6"/>
  <c r="R215" i="6"/>
  <c r="R216" i="6"/>
  <c r="R209" i="6"/>
  <c r="R212" i="6"/>
  <c r="R210" i="6"/>
  <c r="R207" i="6"/>
  <c r="R206" i="6"/>
  <c r="R211" i="6"/>
  <c r="AM205" i="6" l="1"/>
  <c r="AM195" i="6"/>
  <c r="N197" i="6"/>
  <c r="AM207" i="6"/>
  <c r="AM206" i="6"/>
  <c r="AM204" i="6"/>
  <c r="AM197" i="6"/>
  <c r="N201" i="6"/>
  <c r="BR31" i="3"/>
  <c r="BR11" i="3"/>
  <c r="BR15" i="3"/>
  <c r="BR19" i="3"/>
  <c r="BR36" i="3"/>
  <c r="BR26" i="3"/>
  <c r="BR39" i="3"/>
  <c r="BR5" i="3"/>
  <c r="BR21" i="3"/>
  <c r="BR18" i="3"/>
  <c r="BR20" i="3"/>
  <c r="BR8" i="3"/>
  <c r="BR12" i="3"/>
  <c r="BR38" i="3"/>
  <c r="BR29" i="3"/>
  <c r="BR33" i="3"/>
  <c r="BR17" i="3"/>
  <c r="BR28" i="3"/>
  <c r="BR35" i="3"/>
  <c r="BR9" i="3"/>
  <c r="BR13" i="3"/>
  <c r="BR34" i="3"/>
  <c r="BR10" i="3"/>
  <c r="BR30" i="3"/>
  <c r="BR32" i="3"/>
  <c r="BR40" i="3"/>
  <c r="BR23" i="3"/>
  <c r="BR7" i="3"/>
  <c r="BR6" i="3"/>
  <c r="BR14" i="3"/>
  <c r="BR24" i="3"/>
  <c r="BR37" i="3"/>
  <c r="BR27" i="3"/>
  <c r="BR25" i="3"/>
  <c r="BR22" i="3"/>
  <c r="BR16" i="3"/>
  <c r="AR183" i="6"/>
  <c r="AR175" i="6"/>
  <c r="AR167" i="6"/>
  <c r="AR190" i="6"/>
  <c r="AR182" i="6"/>
  <c r="AR174" i="6"/>
  <c r="AR166" i="6"/>
  <c r="AR189" i="6"/>
  <c r="AR181" i="6"/>
  <c r="AR173" i="6"/>
  <c r="AR165" i="6"/>
  <c r="AR188" i="6"/>
  <c r="AR180" i="6"/>
  <c r="AR172" i="6"/>
  <c r="AR164" i="6"/>
  <c r="AR169" i="6"/>
  <c r="AR184" i="6"/>
  <c r="AR176" i="6"/>
  <c r="AR187" i="6"/>
  <c r="AR179" i="6"/>
  <c r="AR171" i="6"/>
  <c r="AR163" i="6"/>
  <c r="AR186" i="6"/>
  <c r="AR178" i="6"/>
  <c r="AR170" i="6"/>
  <c r="AR162" i="6"/>
  <c r="AR185" i="6"/>
  <c r="AR177" i="6"/>
  <c r="AR161" i="6"/>
  <c r="AR168" i="6"/>
  <c r="N195" i="6"/>
  <c r="N191" i="6"/>
  <c r="BR4" i="3"/>
  <c r="BB4" i="3" s="1"/>
  <c r="BG4" i="3" s="1"/>
  <c r="BR41" i="3"/>
  <c r="BR42" i="3"/>
  <c r="BR48" i="3"/>
  <c r="AZ48" i="3" s="1"/>
  <c r="BR45" i="3"/>
  <c r="BA45" i="3" s="1"/>
  <c r="BF45" i="3" s="1"/>
  <c r="BR52" i="3"/>
  <c r="BB52" i="3" s="1"/>
  <c r="BG52" i="3" s="1"/>
  <c r="BR51" i="3"/>
  <c r="AZ51" i="3" s="1"/>
  <c r="BE51" i="3" s="1"/>
  <c r="BR49" i="3"/>
  <c r="AZ49" i="3" s="1"/>
  <c r="BE49" i="3" s="1"/>
  <c r="BR46" i="3"/>
  <c r="BA46" i="3" s="1"/>
  <c r="BF46" i="3" s="1"/>
  <c r="BR44" i="3"/>
  <c r="BC44" i="3" s="1"/>
  <c r="BR47" i="3"/>
  <c r="BC47" i="3" s="1"/>
  <c r="BR50" i="3"/>
  <c r="BA50" i="3" s="1"/>
  <c r="BF50" i="3" s="1"/>
  <c r="BR43" i="3"/>
  <c r="BA43" i="3" s="1"/>
  <c r="BF43" i="3" s="1"/>
  <c r="BR53" i="3"/>
  <c r="BC53" i="3" s="1"/>
  <c r="BH53" i="3" s="1"/>
  <c r="N188" i="6"/>
  <c r="N199" i="6"/>
  <c r="N189" i="6"/>
  <c r="AM192" i="6"/>
  <c r="AM213" i="6"/>
  <c r="AM212" i="6"/>
  <c r="AM201" i="6"/>
  <c r="J214" i="6"/>
  <c r="J206" i="6"/>
  <c r="J216" i="6"/>
  <c r="J210" i="6"/>
  <c r="J215" i="6"/>
  <c r="J211" i="6"/>
  <c r="J209" i="6"/>
  <c r="J207" i="6"/>
  <c r="J212" i="6"/>
  <c r="J213" i="6"/>
  <c r="J208" i="6"/>
  <c r="N196" i="6"/>
  <c r="N203" i="6"/>
  <c r="N193" i="6"/>
  <c r="AM211" i="6"/>
  <c r="AM208" i="6"/>
  <c r="AM203" i="6"/>
  <c r="AM214" i="6"/>
  <c r="AM209" i="6"/>
  <c r="AM191" i="6"/>
  <c r="AM196" i="6"/>
  <c r="AM221" i="6"/>
  <c r="AM230" i="6" s="1"/>
  <c r="AM210" i="6"/>
  <c r="AM199" i="6"/>
  <c r="AM216" i="6"/>
  <c r="AM219" i="6"/>
  <c r="AM193" i="6"/>
  <c r="AM202" i="6"/>
  <c r="AM200" i="6"/>
  <c r="AM218" i="6"/>
  <c r="AM215" i="6"/>
  <c r="AM220" i="6"/>
  <c r="AM217" i="6"/>
  <c r="N186" i="6"/>
  <c r="N220" i="6" s="1"/>
  <c r="N190" i="6"/>
  <c r="N202" i="6"/>
  <c r="N204" i="6"/>
  <c r="N200" i="6"/>
  <c r="N192" i="6"/>
  <c r="N205" i="6"/>
  <c r="N187" i="6"/>
  <c r="N198" i="6"/>
  <c r="AI62" i="3"/>
  <c r="AD62" i="3"/>
  <c r="R193" i="6"/>
  <c r="R189" i="6"/>
  <c r="R201" i="6"/>
  <c r="R203" i="6"/>
  <c r="R198" i="6"/>
  <c r="R194" i="6"/>
  <c r="R191" i="6"/>
  <c r="R199" i="6"/>
  <c r="R192" i="6"/>
  <c r="R204" i="6"/>
  <c r="R202" i="6"/>
  <c r="R195" i="6"/>
  <c r="R196" i="6"/>
  <c r="R200" i="6"/>
  <c r="R190" i="6"/>
  <c r="R188" i="6"/>
  <c r="R197" i="6"/>
  <c r="R186" i="6"/>
  <c r="R205" i="6"/>
  <c r="R187" i="6"/>
  <c r="AK178" i="6"/>
  <c r="AK170" i="6"/>
  <c r="AK165" i="6"/>
  <c r="AK189" i="6"/>
  <c r="AK187" i="6"/>
  <c r="AK183" i="6"/>
  <c r="AK179" i="6"/>
  <c r="AK164" i="6"/>
  <c r="AK185" i="6"/>
  <c r="AK184" i="6"/>
  <c r="AK175" i="6"/>
  <c r="AK186" i="6"/>
  <c r="AK171" i="6"/>
  <c r="AK169" i="6"/>
  <c r="AK166" i="6"/>
  <c r="AK168" i="6"/>
  <c r="AK182" i="6"/>
  <c r="AK190" i="6"/>
  <c r="AK177" i="6"/>
  <c r="AK176" i="6"/>
  <c r="AK172" i="6"/>
  <c r="AK188" i="6"/>
  <c r="AK163" i="6"/>
  <c r="AK173" i="6"/>
  <c r="AK162" i="6"/>
  <c r="AK181" i="6"/>
  <c r="AK180" i="6"/>
  <c r="AK161" i="6"/>
  <c r="AK174" i="6"/>
  <c r="AK167" i="6"/>
  <c r="AA62" i="3"/>
  <c r="R237" i="6"/>
  <c r="R247" i="6"/>
  <c r="R241" i="6"/>
  <c r="R245" i="6"/>
  <c r="R240" i="6"/>
  <c r="R239" i="6"/>
  <c r="R246" i="6"/>
  <c r="R243" i="6"/>
  <c r="R238" i="6"/>
  <c r="R244" i="6"/>
  <c r="R242" i="6"/>
  <c r="J223" i="6"/>
  <c r="J228" i="6"/>
  <c r="J221" i="6"/>
  <c r="J229" i="6"/>
  <c r="J233" i="6"/>
  <c r="J232" i="6"/>
  <c r="J230" i="6"/>
  <c r="J227" i="6"/>
  <c r="J234" i="6"/>
  <c r="J236" i="6"/>
  <c r="J225" i="6"/>
  <c r="J226" i="6"/>
  <c r="J231" i="6"/>
  <c r="J217" i="6"/>
  <c r="J222" i="6"/>
  <c r="J218" i="6"/>
  <c r="J220" i="6"/>
  <c r="J235" i="6"/>
  <c r="J219" i="6"/>
  <c r="J224" i="6"/>
  <c r="AM231" i="6"/>
  <c r="F195" i="6"/>
  <c r="F200" i="6"/>
  <c r="F201" i="6"/>
  <c r="F191" i="6"/>
  <c r="F193" i="6"/>
  <c r="F194" i="6"/>
  <c r="F197" i="6"/>
  <c r="F203" i="6"/>
  <c r="F187" i="6"/>
  <c r="F205" i="6"/>
  <c r="F198" i="6"/>
  <c r="F199" i="6"/>
  <c r="F189" i="6"/>
  <c r="F196" i="6"/>
  <c r="F202" i="6"/>
  <c r="F204" i="6"/>
  <c r="F186" i="6"/>
  <c r="F188" i="6"/>
  <c r="F192" i="6"/>
  <c r="F190" i="6"/>
  <c r="F216" i="6"/>
  <c r="F209" i="6"/>
  <c r="F210" i="6"/>
  <c r="F206" i="6"/>
  <c r="F214" i="6"/>
  <c r="F212" i="6"/>
  <c r="F208" i="6"/>
  <c r="F213" i="6"/>
  <c r="F215" i="6"/>
  <c r="F207" i="6"/>
  <c r="F211" i="6"/>
  <c r="AC194" i="6"/>
  <c r="AC203" i="6"/>
  <c r="AC204" i="6"/>
  <c r="AC190" i="6"/>
  <c r="AC197" i="6"/>
  <c r="AC187" i="6"/>
  <c r="AC202" i="6"/>
  <c r="AC192" i="6"/>
  <c r="AC199" i="6"/>
  <c r="AC191" i="6"/>
  <c r="AC206" i="6"/>
  <c r="AC193" i="6"/>
  <c r="AC205" i="6"/>
  <c r="AC198" i="6"/>
  <c r="AC188" i="6"/>
  <c r="AC196" i="6"/>
  <c r="AC195" i="6"/>
  <c r="AC189" i="6"/>
  <c r="AC201" i="6"/>
  <c r="AC200" i="6"/>
  <c r="AC212" i="6"/>
  <c r="AC214" i="6"/>
  <c r="AC215" i="6"/>
  <c r="AC207" i="6"/>
  <c r="AC216" i="6"/>
  <c r="AC213" i="6"/>
  <c r="AC209" i="6"/>
  <c r="AC210" i="6"/>
  <c r="AC217" i="6"/>
  <c r="AC208" i="6"/>
  <c r="AC211" i="6"/>
  <c r="N221" i="6"/>
  <c r="N234" i="6"/>
  <c r="V268" i="6"/>
  <c r="V269" i="6"/>
  <c r="V277" i="6"/>
  <c r="V272" i="6"/>
  <c r="V276" i="6"/>
  <c r="V275" i="6"/>
  <c r="V271" i="6"/>
  <c r="V273" i="6"/>
  <c r="V270" i="6"/>
  <c r="V274" i="6"/>
  <c r="V231" i="6"/>
  <c r="V225" i="6"/>
  <c r="V219" i="6"/>
  <c r="V235" i="6"/>
  <c r="V221" i="6"/>
  <c r="V232" i="6"/>
  <c r="V218" i="6"/>
  <c r="V233" i="6"/>
  <c r="V230" i="6"/>
  <c r="V234" i="6"/>
  <c r="V220" i="6"/>
  <c r="V236" i="6"/>
  <c r="V227" i="6"/>
  <c r="V223" i="6"/>
  <c r="C27" i="6"/>
  <c r="C28" i="6" s="1"/>
  <c r="V229" i="6"/>
  <c r="V228" i="6"/>
  <c r="V222" i="6"/>
  <c r="V217" i="6"/>
  <c r="V226" i="6"/>
  <c r="V224" i="6"/>
  <c r="N208" i="6"/>
  <c r="N216" i="6"/>
  <c r="N215" i="6"/>
  <c r="N211" i="6"/>
  <c r="N210" i="6"/>
  <c r="N212" i="6"/>
  <c r="N206" i="6"/>
  <c r="N214" i="6"/>
  <c r="N209" i="6"/>
  <c r="N213" i="6"/>
  <c r="N207" i="6"/>
  <c r="N236" i="6" l="1"/>
  <c r="BC52" i="3"/>
  <c r="BH52" i="3" s="1"/>
  <c r="BB53" i="3"/>
  <c r="BG53" i="3" s="1"/>
  <c r="BC4" i="3"/>
  <c r="BH4" i="3" s="1"/>
  <c r="BA44" i="3"/>
  <c r="BF44" i="3" s="1"/>
  <c r="AZ53" i="3"/>
  <c r="N227" i="6"/>
  <c r="BA52" i="3"/>
  <c r="BF52" i="3" s="1"/>
  <c r="BA4" i="3"/>
  <c r="BF4" i="3" s="1"/>
  <c r="AZ44" i="3"/>
  <c r="BE44" i="3" s="1"/>
  <c r="BA53" i="3"/>
  <c r="BF53" i="3" s="1"/>
  <c r="N225" i="6"/>
  <c r="N217" i="6"/>
  <c r="N248" i="6" s="1"/>
  <c r="AM235" i="6"/>
  <c r="AZ52" i="3"/>
  <c r="BE52" i="3" s="1"/>
  <c r="AZ4" i="3"/>
  <c r="BE4" i="3" s="1"/>
  <c r="BB44" i="3"/>
  <c r="BG44" i="3" s="1"/>
  <c r="N230" i="6"/>
  <c r="AM232" i="6"/>
  <c r="N232" i="6"/>
  <c r="N229" i="6"/>
  <c r="N231" i="6"/>
  <c r="AM246" i="6"/>
  <c r="AZ47" i="3"/>
  <c r="BE47" i="3" s="1"/>
  <c r="AZ30" i="3"/>
  <c r="BB30" i="3"/>
  <c r="BG30" i="3" s="1"/>
  <c r="BC30" i="3"/>
  <c r="BH30" i="3" s="1"/>
  <c r="BA30" i="3"/>
  <c r="BF30" i="3" s="1"/>
  <c r="BB35" i="3"/>
  <c r="BG35" i="3" s="1"/>
  <c r="BA35" i="3"/>
  <c r="BF35" i="3" s="1"/>
  <c r="AZ35" i="3"/>
  <c r="BC35" i="3"/>
  <c r="BH35" i="3" s="1"/>
  <c r="AZ33" i="3"/>
  <c r="BB33" i="3"/>
  <c r="BG33" i="3" s="1"/>
  <c r="BA33" i="3"/>
  <c r="BF33" i="3" s="1"/>
  <c r="BC33" i="3"/>
  <c r="BH33" i="3" s="1"/>
  <c r="BA18" i="3"/>
  <c r="BF18" i="3" s="1"/>
  <c r="AZ18" i="3"/>
  <c r="BE18" i="3" s="1"/>
  <c r="BB18" i="3"/>
  <c r="BG18" i="3" s="1"/>
  <c r="BC18" i="3"/>
  <c r="BB36" i="3"/>
  <c r="BG36" i="3" s="1"/>
  <c r="BA36" i="3"/>
  <c r="BF36" i="3" s="1"/>
  <c r="BC36" i="3"/>
  <c r="BH36" i="3" s="1"/>
  <c r="AZ36" i="3"/>
  <c r="BB37" i="3"/>
  <c r="BG37" i="3" s="1"/>
  <c r="BA37" i="3"/>
  <c r="BF37" i="3" s="1"/>
  <c r="AZ37" i="3"/>
  <c r="BE37" i="3" s="1"/>
  <c r="BC37" i="3"/>
  <c r="BB6" i="3"/>
  <c r="BG6" i="3" s="1"/>
  <c r="BA6" i="3"/>
  <c r="BF6" i="3" s="1"/>
  <c r="AZ6" i="3"/>
  <c r="BC6" i="3"/>
  <c r="BH6" i="3" s="1"/>
  <c r="BB13" i="3"/>
  <c r="BG13" i="3" s="1"/>
  <c r="BA13" i="3"/>
  <c r="BF13" i="3" s="1"/>
  <c r="AZ13" i="3"/>
  <c r="BE13" i="3" s="1"/>
  <c r="BC13" i="3"/>
  <c r="BB12" i="3"/>
  <c r="BG12" i="3" s="1"/>
  <c r="AZ12" i="3"/>
  <c r="BE12" i="3" s="1"/>
  <c r="BA12" i="3"/>
  <c r="BF12" i="3" s="1"/>
  <c r="BC12" i="3"/>
  <c r="BB11" i="3"/>
  <c r="BG11" i="3" s="1"/>
  <c r="BA11" i="3"/>
  <c r="BF11" i="3" s="1"/>
  <c r="AZ11" i="3"/>
  <c r="BE11" i="3" s="1"/>
  <c r="BC11" i="3"/>
  <c r="N228" i="6"/>
  <c r="N224" i="6"/>
  <c r="N218" i="6"/>
  <c r="N223" i="6"/>
  <c r="N235" i="6"/>
  <c r="AM242" i="6"/>
  <c r="AM229" i="6"/>
  <c r="BB48" i="3"/>
  <c r="BG48" i="3" s="1"/>
  <c r="BA16" i="3"/>
  <c r="BF16" i="3" s="1"/>
  <c r="BB16" i="3"/>
  <c r="BG16" i="3" s="1"/>
  <c r="AZ16" i="3"/>
  <c r="BE16" i="3" s="1"/>
  <c r="BC16" i="3"/>
  <c r="AZ7" i="3"/>
  <c r="BE7" i="3" s="1"/>
  <c r="BB7" i="3"/>
  <c r="BG7" i="3" s="1"/>
  <c r="BA7" i="3"/>
  <c r="BF7" i="3" s="1"/>
  <c r="BC7" i="3"/>
  <c r="BB10" i="3"/>
  <c r="BG10" i="3" s="1"/>
  <c r="AZ10" i="3"/>
  <c r="BE10" i="3" s="1"/>
  <c r="BA10" i="3"/>
  <c r="BF10" i="3" s="1"/>
  <c r="BC10" i="3"/>
  <c r="BB9" i="3"/>
  <c r="BG9" i="3" s="1"/>
  <c r="BA9" i="3"/>
  <c r="BF9" i="3" s="1"/>
  <c r="AZ9" i="3"/>
  <c r="BE9" i="3" s="1"/>
  <c r="BC9" i="3"/>
  <c r="BB28" i="3"/>
  <c r="BG28" i="3" s="1"/>
  <c r="BA28" i="3"/>
  <c r="BF28" i="3" s="1"/>
  <c r="BC28" i="3"/>
  <c r="BH28" i="3" s="1"/>
  <c r="AZ28" i="3"/>
  <c r="BA8" i="3"/>
  <c r="BF8" i="3" s="1"/>
  <c r="BB8" i="3"/>
  <c r="BG8" i="3" s="1"/>
  <c r="AZ8" i="3"/>
  <c r="BC8" i="3"/>
  <c r="BH8" i="3" s="1"/>
  <c r="AZ21" i="3"/>
  <c r="BE21" i="3" s="1"/>
  <c r="BB21" i="3"/>
  <c r="BG21" i="3" s="1"/>
  <c r="BA21" i="3"/>
  <c r="BF21" i="3" s="1"/>
  <c r="BC21" i="3"/>
  <c r="BB39" i="3"/>
  <c r="BG39" i="3" s="1"/>
  <c r="BA39" i="3"/>
  <c r="BF39" i="3" s="1"/>
  <c r="AZ39" i="3"/>
  <c r="BC39" i="3"/>
  <c r="BH39" i="3" s="1"/>
  <c r="BA19" i="3"/>
  <c r="BF19" i="3" s="1"/>
  <c r="AZ19" i="3"/>
  <c r="BE19" i="3" s="1"/>
  <c r="BB19" i="3"/>
  <c r="BG19" i="3" s="1"/>
  <c r="BC19" i="3"/>
  <c r="BA20" i="3"/>
  <c r="BF20" i="3" s="1"/>
  <c r="AZ20" i="3"/>
  <c r="BE20" i="3" s="1"/>
  <c r="BB20" i="3"/>
  <c r="BG20" i="3" s="1"/>
  <c r="BC20" i="3"/>
  <c r="BB5" i="3"/>
  <c r="BG5" i="3" s="1"/>
  <c r="BA5" i="3"/>
  <c r="BF5" i="3" s="1"/>
  <c r="AZ5" i="3"/>
  <c r="BE5" i="3" s="1"/>
  <c r="BC5" i="3"/>
  <c r="BB15" i="3"/>
  <c r="BG15" i="3" s="1"/>
  <c r="BA15" i="3"/>
  <c r="BF15" i="3" s="1"/>
  <c r="AZ15" i="3"/>
  <c r="BE15" i="3" s="1"/>
  <c r="BC15" i="3"/>
  <c r="BB25" i="3"/>
  <c r="BG25" i="3" s="1"/>
  <c r="BA25" i="3"/>
  <c r="BF25" i="3" s="1"/>
  <c r="AZ25" i="3"/>
  <c r="BC25" i="3"/>
  <c r="BH25" i="3" s="1"/>
  <c r="BB23" i="3"/>
  <c r="BG23" i="3" s="1"/>
  <c r="BA23" i="3"/>
  <c r="BF23" i="3" s="1"/>
  <c r="AZ23" i="3"/>
  <c r="BC23" i="3"/>
  <c r="BH23" i="3" s="1"/>
  <c r="N222" i="6"/>
  <c r="N226" i="6"/>
  <c r="N233" i="6"/>
  <c r="N219" i="6"/>
  <c r="AM238" i="6"/>
  <c r="AM241" i="6"/>
  <c r="BQ21" i="3"/>
  <c r="BQ37" i="3"/>
  <c r="BQ5" i="3"/>
  <c r="BQ33" i="3"/>
  <c r="BQ28" i="3"/>
  <c r="BQ32" i="3"/>
  <c r="BQ40" i="3"/>
  <c r="BQ27" i="3"/>
  <c r="BQ7" i="3"/>
  <c r="BQ25" i="3"/>
  <c r="BQ16" i="3"/>
  <c r="BQ34" i="3"/>
  <c r="BQ20" i="3"/>
  <c r="BQ31" i="3"/>
  <c r="BQ39" i="3"/>
  <c r="BQ29" i="3"/>
  <c r="BQ8" i="3"/>
  <c r="BQ10" i="3"/>
  <c r="BQ12" i="3"/>
  <c r="BQ14" i="3"/>
  <c r="BQ38" i="3"/>
  <c r="BQ36" i="3"/>
  <c r="BQ13" i="3"/>
  <c r="BQ26" i="3"/>
  <c r="BQ17" i="3"/>
  <c r="BQ23" i="3"/>
  <c r="BQ35" i="3"/>
  <c r="BQ24" i="3"/>
  <c r="BQ22" i="3"/>
  <c r="BQ11" i="3"/>
  <c r="BQ19" i="3"/>
  <c r="BQ9" i="3"/>
  <c r="BQ30" i="3"/>
  <c r="BQ6" i="3"/>
  <c r="BQ18" i="3"/>
  <c r="BQ15" i="3"/>
  <c r="BQ4" i="3"/>
  <c r="BA22" i="3"/>
  <c r="BF22" i="3" s="1"/>
  <c r="AZ22" i="3"/>
  <c r="BE22" i="3" s="1"/>
  <c r="BB22" i="3"/>
  <c r="BG22" i="3" s="1"/>
  <c r="BC22" i="3"/>
  <c r="BB27" i="3"/>
  <c r="BG27" i="3" s="1"/>
  <c r="BA27" i="3"/>
  <c r="BF27" i="3" s="1"/>
  <c r="BC27" i="3"/>
  <c r="BH27" i="3" s="1"/>
  <c r="AZ27" i="3"/>
  <c r="BB24" i="3"/>
  <c r="BG24" i="3" s="1"/>
  <c r="BA24" i="3"/>
  <c r="BF24" i="3" s="1"/>
  <c r="AZ24" i="3"/>
  <c r="BE24" i="3" s="1"/>
  <c r="BC24" i="3"/>
  <c r="BB14" i="3"/>
  <c r="BG14" i="3" s="1"/>
  <c r="AZ14" i="3"/>
  <c r="BE14" i="3" s="1"/>
  <c r="BA14" i="3"/>
  <c r="BF14" i="3" s="1"/>
  <c r="BC14" i="3"/>
  <c r="BB40" i="3"/>
  <c r="BG40" i="3" s="1"/>
  <c r="BA40" i="3"/>
  <c r="BF40" i="3" s="1"/>
  <c r="AZ40" i="3"/>
  <c r="BE40" i="3" s="1"/>
  <c r="BC40" i="3"/>
  <c r="AZ32" i="3"/>
  <c r="BE32" i="3" s="1"/>
  <c r="BB32" i="3"/>
  <c r="BG32" i="3" s="1"/>
  <c r="BA32" i="3"/>
  <c r="BF32" i="3" s="1"/>
  <c r="BC32" i="3"/>
  <c r="BA34" i="3"/>
  <c r="BF34" i="3" s="1"/>
  <c r="BB34" i="3"/>
  <c r="BG34" i="3" s="1"/>
  <c r="AZ34" i="3"/>
  <c r="BE34" i="3" s="1"/>
  <c r="BC34" i="3"/>
  <c r="AZ17" i="3"/>
  <c r="BE17" i="3" s="1"/>
  <c r="BB17" i="3"/>
  <c r="BG17" i="3" s="1"/>
  <c r="BA17" i="3"/>
  <c r="BF17" i="3" s="1"/>
  <c r="BC17" i="3"/>
  <c r="BB29" i="3"/>
  <c r="BG29" i="3" s="1"/>
  <c r="BC29" i="3"/>
  <c r="BH29" i="3" s="1"/>
  <c r="AZ29" i="3"/>
  <c r="BA29" i="3"/>
  <c r="BF29" i="3" s="1"/>
  <c r="BB38" i="3"/>
  <c r="BG38" i="3" s="1"/>
  <c r="BA38" i="3"/>
  <c r="BF38" i="3" s="1"/>
  <c r="AZ38" i="3"/>
  <c r="BC38" i="3"/>
  <c r="BH38" i="3" s="1"/>
  <c r="AZ26" i="3"/>
  <c r="BB26" i="3"/>
  <c r="BG26" i="3" s="1"/>
  <c r="BA26" i="3"/>
  <c r="BF26" i="3" s="1"/>
  <c r="BC26" i="3"/>
  <c r="BH26" i="3" s="1"/>
  <c r="AZ31" i="3"/>
  <c r="BE31" i="3" s="1"/>
  <c r="BB31" i="3"/>
  <c r="BG31" i="3" s="1"/>
  <c r="BA31" i="3"/>
  <c r="BF31" i="3" s="1"/>
  <c r="BC31" i="3"/>
  <c r="BC51" i="3"/>
  <c r="BH51" i="3" s="1"/>
  <c r="BA51" i="3"/>
  <c r="BF51" i="3" s="1"/>
  <c r="BA47" i="3"/>
  <c r="BF47" i="3" s="1"/>
  <c r="BB49" i="3"/>
  <c r="BG49" i="3" s="1"/>
  <c r="BB47" i="3"/>
  <c r="BG47" i="3" s="1"/>
  <c r="AZ45" i="3"/>
  <c r="BE45" i="3" s="1"/>
  <c r="BB51" i="3"/>
  <c r="BG51" i="3" s="1"/>
  <c r="AZ50" i="3"/>
  <c r="BE50" i="3" s="1"/>
  <c r="AZ43" i="3"/>
  <c r="BE43" i="3" s="1"/>
  <c r="BA48" i="3"/>
  <c r="BF48" i="3" s="1"/>
  <c r="BA49" i="3"/>
  <c r="BF49" i="3" s="1"/>
  <c r="AZ46" i="3"/>
  <c r="BE46" i="3" s="1"/>
  <c r="BC43" i="3"/>
  <c r="BH43" i="3" s="1"/>
  <c r="BC49" i="3"/>
  <c r="BH49" i="3" s="1"/>
  <c r="BC48" i="3"/>
  <c r="BH48" i="3" s="1"/>
  <c r="BC46" i="3"/>
  <c r="BH46" i="3" s="1"/>
  <c r="BC45" i="3"/>
  <c r="BH45" i="3" s="1"/>
  <c r="BC50" i="3"/>
  <c r="BH50" i="3" s="1"/>
  <c r="J239" i="6"/>
  <c r="J237" i="6"/>
  <c r="J244" i="6"/>
  <c r="J241" i="6"/>
  <c r="J245" i="6"/>
  <c r="J246" i="6"/>
  <c r="J243" i="6"/>
  <c r="J247" i="6"/>
  <c r="J240" i="6"/>
  <c r="J238" i="6"/>
  <c r="J242" i="6"/>
  <c r="BQ42" i="3"/>
  <c r="BQ41" i="3"/>
  <c r="BQ50" i="3"/>
  <c r="BQ45" i="3"/>
  <c r="BQ43" i="3"/>
  <c r="BQ46" i="3"/>
  <c r="BQ44" i="3"/>
  <c r="BQ47" i="3"/>
  <c r="BQ48" i="3"/>
  <c r="BQ52" i="3"/>
  <c r="BQ51" i="3"/>
  <c r="BQ49" i="3"/>
  <c r="BQ53" i="3"/>
  <c r="AR217" i="6"/>
  <c r="AR209" i="6"/>
  <c r="AR201" i="6"/>
  <c r="AR214" i="6"/>
  <c r="AR206" i="6"/>
  <c r="AR199" i="6"/>
  <c r="AR191" i="6"/>
  <c r="AR192" i="6"/>
  <c r="AR221" i="6"/>
  <c r="AR213" i="6"/>
  <c r="AR205" i="6"/>
  <c r="AR218" i="6"/>
  <c r="AR210" i="6"/>
  <c r="AR202" i="6"/>
  <c r="AR195" i="6"/>
  <c r="AR196" i="6"/>
  <c r="AR219" i="6"/>
  <c r="AR211" i="6"/>
  <c r="AR207" i="6"/>
  <c r="AR212" i="6"/>
  <c r="AR197" i="6"/>
  <c r="AR215" i="6"/>
  <c r="AR194" i="6"/>
  <c r="AR203" i="6"/>
  <c r="AR208" i="6"/>
  <c r="AR193" i="6"/>
  <c r="AR220" i="6"/>
  <c r="AR204" i="6"/>
  <c r="AR198" i="6"/>
  <c r="AR216" i="6"/>
  <c r="AR200" i="6"/>
  <c r="BB43" i="3"/>
  <c r="BG43" i="3" s="1"/>
  <c r="BB46" i="3"/>
  <c r="BG46" i="3" s="1"/>
  <c r="BB45" i="3"/>
  <c r="BG45" i="3" s="1"/>
  <c r="BB50" i="3"/>
  <c r="BG50" i="3" s="1"/>
  <c r="BB42" i="3"/>
  <c r="BG42" i="3" s="1"/>
  <c r="BA42" i="3"/>
  <c r="BF42" i="3" s="1"/>
  <c r="BC42" i="3"/>
  <c r="AZ42" i="3"/>
  <c r="AZ41" i="3"/>
  <c r="BE41" i="3" s="1"/>
  <c r="BA41" i="3"/>
  <c r="BF41" i="3" s="1"/>
  <c r="BB41" i="3"/>
  <c r="BG41" i="3" s="1"/>
  <c r="BC41" i="3"/>
  <c r="AM224" i="6"/>
  <c r="AM236" i="6"/>
  <c r="AM248" i="6"/>
  <c r="AM223" i="6"/>
  <c r="AM250" i="6"/>
  <c r="AM222" i="6"/>
  <c r="AM243" i="6"/>
  <c r="AM245" i="6"/>
  <c r="AM251" i="6"/>
  <c r="AM233" i="6"/>
  <c r="AM225" i="6"/>
  <c r="AM237" i="6"/>
  <c r="AM227" i="6"/>
  <c r="AM249" i="6"/>
  <c r="AM240" i="6"/>
  <c r="AM234" i="6"/>
  <c r="AM228" i="6"/>
  <c r="AM226" i="6"/>
  <c r="AM247" i="6"/>
  <c r="AM244" i="6"/>
  <c r="AM239" i="6"/>
  <c r="AM252" i="6"/>
  <c r="AM273" i="6" s="1"/>
  <c r="BH47" i="3"/>
  <c r="BH44" i="3"/>
  <c r="BE48" i="3"/>
  <c r="AN62" i="3"/>
  <c r="R225" i="6"/>
  <c r="R235" i="6"/>
  <c r="R230" i="6"/>
  <c r="R228" i="6"/>
  <c r="R220" i="6"/>
  <c r="R226" i="6"/>
  <c r="R236" i="6"/>
  <c r="R223" i="6"/>
  <c r="R227" i="6"/>
  <c r="R219" i="6"/>
  <c r="R224" i="6"/>
  <c r="R232" i="6"/>
  <c r="R229" i="6"/>
  <c r="R233" i="6"/>
  <c r="R221" i="6"/>
  <c r="R222" i="6"/>
  <c r="O26" i="6"/>
  <c r="O28" i="6" s="1"/>
  <c r="R217" i="6"/>
  <c r="R231" i="6"/>
  <c r="R218" i="6"/>
  <c r="R234" i="6"/>
  <c r="AF62" i="3"/>
  <c r="AK213" i="6"/>
  <c r="AK220" i="6"/>
  <c r="AK201" i="6"/>
  <c r="AK195" i="6"/>
  <c r="AK219" i="6"/>
  <c r="AK196" i="6"/>
  <c r="AK198" i="6"/>
  <c r="AK217" i="6"/>
  <c r="AK218" i="6"/>
  <c r="AK204" i="6"/>
  <c r="AK193" i="6"/>
  <c r="AK221" i="6"/>
  <c r="AK203" i="6"/>
  <c r="AK214" i="6"/>
  <c r="AK216" i="6"/>
  <c r="AK206" i="6"/>
  <c r="AK202" i="6"/>
  <c r="AK191" i="6"/>
  <c r="AK212" i="6"/>
  <c r="AK199" i="6"/>
  <c r="AK205" i="6"/>
  <c r="AK211" i="6"/>
  <c r="AK192" i="6"/>
  <c r="AK208" i="6"/>
  <c r="AK197" i="6"/>
  <c r="AK215" i="6"/>
  <c r="AK200" i="6"/>
  <c r="AK210" i="6"/>
  <c r="AK209" i="6"/>
  <c r="AK194" i="6"/>
  <c r="AK207" i="6"/>
  <c r="AC230" i="6"/>
  <c r="AC220" i="6"/>
  <c r="AC223" i="6"/>
  <c r="AC227" i="6"/>
  <c r="AC224" i="6"/>
  <c r="AC237" i="6"/>
  <c r="AC218" i="6"/>
  <c r="AC222" i="6"/>
  <c r="AC233" i="6"/>
  <c r="AC225" i="6"/>
  <c r="AC231" i="6"/>
  <c r="AC232" i="6"/>
  <c r="AC234" i="6"/>
  <c r="AC235" i="6"/>
  <c r="AC236" i="6"/>
  <c r="AC228" i="6"/>
  <c r="AC226" i="6"/>
  <c r="AC221" i="6"/>
  <c r="AC229" i="6"/>
  <c r="AC219" i="6"/>
  <c r="AK62" i="3"/>
  <c r="F245" i="6"/>
  <c r="F237" i="6"/>
  <c r="F242" i="6"/>
  <c r="F240" i="6"/>
  <c r="F239" i="6"/>
  <c r="F247" i="6"/>
  <c r="F246" i="6"/>
  <c r="F243" i="6"/>
  <c r="F241" i="6"/>
  <c r="F238" i="6"/>
  <c r="F244" i="6"/>
  <c r="J265" i="6"/>
  <c r="J261" i="6"/>
  <c r="J260" i="6"/>
  <c r="J257" i="6"/>
  <c r="J266" i="6"/>
  <c r="J255" i="6"/>
  <c r="J262" i="6"/>
  <c r="J249" i="6"/>
  <c r="J256" i="6"/>
  <c r="J267" i="6"/>
  <c r="J251" i="6"/>
  <c r="J263" i="6"/>
  <c r="J250" i="6"/>
  <c r="J258" i="6"/>
  <c r="J253" i="6"/>
  <c r="J264" i="6"/>
  <c r="J248" i="6"/>
  <c r="J252" i="6"/>
  <c r="J259" i="6"/>
  <c r="J254" i="6"/>
  <c r="N265" i="6"/>
  <c r="N257" i="6"/>
  <c r="N266" i="6"/>
  <c r="N254" i="6"/>
  <c r="N260" i="6"/>
  <c r="AC247" i="6"/>
  <c r="AC239" i="6"/>
  <c r="AC244" i="6"/>
  <c r="AC243" i="6"/>
  <c r="AC248" i="6"/>
  <c r="AC245" i="6"/>
  <c r="AC240" i="6"/>
  <c r="AC246" i="6"/>
  <c r="AC241" i="6"/>
  <c r="AC242" i="6"/>
  <c r="AC238" i="6"/>
  <c r="AM257" i="6"/>
  <c r="F229" i="6"/>
  <c r="F219" i="6"/>
  <c r="F217" i="6"/>
  <c r="F222" i="6"/>
  <c r="F227" i="6"/>
  <c r="F235" i="6"/>
  <c r="F226" i="6"/>
  <c r="F236" i="6"/>
  <c r="F225" i="6"/>
  <c r="F220" i="6"/>
  <c r="F234" i="6"/>
  <c r="F223" i="6"/>
  <c r="F231" i="6"/>
  <c r="F221" i="6"/>
  <c r="F230" i="6"/>
  <c r="F224" i="6"/>
  <c r="F218" i="6"/>
  <c r="F232" i="6"/>
  <c r="F233" i="6"/>
  <c r="F228" i="6"/>
  <c r="AJ62" i="3"/>
  <c r="E26" i="11" s="1"/>
  <c r="N240" i="6"/>
  <c r="N238" i="6"/>
  <c r="N243" i="6"/>
  <c r="N242" i="6"/>
  <c r="N247" i="6"/>
  <c r="N241" i="6"/>
  <c r="N245" i="6"/>
  <c r="N246" i="6"/>
  <c r="N244" i="6"/>
  <c r="N237" i="6"/>
  <c r="N239" i="6"/>
  <c r="V261" i="6"/>
  <c r="V256" i="6"/>
  <c r="V254" i="6"/>
  <c r="V250" i="6"/>
  <c r="V249" i="6"/>
  <c r="V260" i="6"/>
  <c r="V251" i="6"/>
  <c r="V263" i="6"/>
  <c r="V259" i="6"/>
  <c r="V255" i="6"/>
  <c r="V267" i="6"/>
  <c r="V257" i="6"/>
  <c r="V258" i="6"/>
  <c r="V265" i="6"/>
  <c r="V253" i="6"/>
  <c r="V264" i="6"/>
  <c r="V252" i="6"/>
  <c r="V248" i="6"/>
  <c r="V266" i="6"/>
  <c r="V262" i="6"/>
  <c r="V308" i="6"/>
  <c r="V305" i="6"/>
  <c r="V303" i="6"/>
  <c r="V307" i="6"/>
  <c r="V301" i="6"/>
  <c r="V299" i="6"/>
  <c r="V300" i="6"/>
  <c r="V298" i="6"/>
  <c r="V306" i="6"/>
  <c r="V304" i="6"/>
  <c r="V302" i="6"/>
  <c r="R274" i="6"/>
  <c r="R273" i="6"/>
  <c r="R272" i="6"/>
  <c r="R276" i="6"/>
  <c r="R277" i="6"/>
  <c r="R271" i="6"/>
  <c r="R268" i="6"/>
  <c r="R275" i="6"/>
  <c r="R269" i="6"/>
  <c r="R270" i="6"/>
  <c r="AM255" i="6" l="1"/>
  <c r="BI51" i="3"/>
  <c r="BD53" i="3"/>
  <c r="BE53" i="3"/>
  <c r="BI53" i="3" s="1"/>
  <c r="BI4" i="3"/>
  <c r="BI44" i="3"/>
  <c r="BD4" i="3"/>
  <c r="AM271" i="6"/>
  <c r="N258" i="6"/>
  <c r="N255" i="6"/>
  <c r="BD52" i="3"/>
  <c r="N267" i="6"/>
  <c r="N261" i="6"/>
  <c r="N262" i="6"/>
  <c r="N253" i="6"/>
  <c r="N263" i="6"/>
  <c r="BD44" i="3"/>
  <c r="N249" i="6"/>
  <c r="N251" i="6"/>
  <c r="N250" i="6"/>
  <c r="AM274" i="6"/>
  <c r="N264" i="6"/>
  <c r="N252" i="6"/>
  <c r="N256" i="6"/>
  <c r="N259" i="6"/>
  <c r="BI52" i="3"/>
  <c r="BI48" i="3"/>
  <c r="BD17" i="3"/>
  <c r="BH17" i="3"/>
  <c r="BI17" i="3" s="1"/>
  <c r="BD32" i="3"/>
  <c r="BH32" i="3"/>
  <c r="BI32" i="3" s="1"/>
  <c r="BD24" i="3"/>
  <c r="BH24" i="3"/>
  <c r="BI24" i="3" s="1"/>
  <c r="BD22" i="3"/>
  <c r="BH22" i="3"/>
  <c r="BI22" i="3" s="1"/>
  <c r="AQ18" i="3"/>
  <c r="AV18" i="3" s="1"/>
  <c r="AR18" i="3"/>
  <c r="AW18" i="3" s="1"/>
  <c r="AP18" i="3"/>
  <c r="AU18" i="3" s="1"/>
  <c r="AS18" i="3"/>
  <c r="AQ17" i="3"/>
  <c r="AV17" i="3" s="1"/>
  <c r="AR17" i="3"/>
  <c r="AW17" i="3" s="1"/>
  <c r="AP17" i="3"/>
  <c r="AU17" i="3" s="1"/>
  <c r="AS17" i="3"/>
  <c r="AR38" i="3"/>
  <c r="AW38" i="3" s="1"/>
  <c r="AQ38" i="3"/>
  <c r="AV38" i="3" s="1"/>
  <c r="AS38" i="3"/>
  <c r="AX38" i="3" s="1"/>
  <c r="AP38" i="3"/>
  <c r="AR10" i="3"/>
  <c r="AW10" i="3" s="1"/>
  <c r="AP10" i="3"/>
  <c r="AU10" i="3" s="1"/>
  <c r="AQ10" i="3"/>
  <c r="AV10" i="3" s="1"/>
  <c r="AS10" i="3"/>
  <c r="AQ20" i="3"/>
  <c r="AV20" i="3" s="1"/>
  <c r="AR20" i="3"/>
  <c r="AW20" i="3" s="1"/>
  <c r="AP20" i="3"/>
  <c r="AU20" i="3" s="1"/>
  <c r="AS20" i="3"/>
  <c r="AR40" i="3"/>
  <c r="AW40" i="3" s="1"/>
  <c r="AQ40" i="3"/>
  <c r="AV40" i="3" s="1"/>
  <c r="AP40" i="3"/>
  <c r="AU40" i="3" s="1"/>
  <c r="AS40" i="3"/>
  <c r="BE8" i="3"/>
  <c r="BI8" i="3" s="1"/>
  <c r="BD8" i="3"/>
  <c r="BD6" i="3"/>
  <c r="BE6" i="3"/>
  <c r="BI6" i="3" s="1"/>
  <c r="BD36" i="3"/>
  <c r="BE36" i="3"/>
  <c r="BI36" i="3" s="1"/>
  <c r="BD18" i="3"/>
  <c r="BH18" i="3"/>
  <c r="BI18" i="3" s="1"/>
  <c r="BD38" i="3"/>
  <c r="BE38" i="3"/>
  <c r="BI38" i="3" s="1"/>
  <c r="AP9" i="3"/>
  <c r="AR9" i="3"/>
  <c r="AW9" i="3" s="1"/>
  <c r="AQ9" i="3"/>
  <c r="AV9" i="3" s="1"/>
  <c r="AS9" i="3"/>
  <c r="AX9" i="3" s="1"/>
  <c r="AR24" i="3"/>
  <c r="AW24" i="3" s="1"/>
  <c r="AQ24" i="3"/>
  <c r="AV24" i="3" s="1"/>
  <c r="AP24" i="3"/>
  <c r="AS24" i="3"/>
  <c r="AX24" i="3" s="1"/>
  <c r="AR29" i="3"/>
  <c r="AW29" i="3" s="1"/>
  <c r="AP29" i="3"/>
  <c r="AU29" i="3" s="1"/>
  <c r="AQ29" i="3"/>
  <c r="AV29" i="3" s="1"/>
  <c r="AS29" i="3"/>
  <c r="AQ16" i="3"/>
  <c r="AV16" i="3" s="1"/>
  <c r="AR16" i="3"/>
  <c r="AW16" i="3" s="1"/>
  <c r="AP16" i="3"/>
  <c r="AU16" i="3" s="1"/>
  <c r="AS16" i="3"/>
  <c r="AR37" i="3"/>
  <c r="AW37" i="3" s="1"/>
  <c r="AP37" i="3"/>
  <c r="AU37" i="3" s="1"/>
  <c r="AQ37" i="3"/>
  <c r="AV37" i="3" s="1"/>
  <c r="AS37" i="3"/>
  <c r="BD35" i="3"/>
  <c r="BE35" i="3"/>
  <c r="BI35" i="3" s="1"/>
  <c r="AP15" i="3"/>
  <c r="AU15" i="3" s="1"/>
  <c r="AR15" i="3"/>
  <c r="AW15" i="3" s="1"/>
  <c r="AQ15" i="3"/>
  <c r="AV15" i="3" s="1"/>
  <c r="AS15" i="3"/>
  <c r="AR6" i="3"/>
  <c r="AW6" i="3" s="1"/>
  <c r="AQ6" i="3"/>
  <c r="AV6" i="3" s="1"/>
  <c r="AP6" i="3"/>
  <c r="AS6" i="3"/>
  <c r="AX6" i="3" s="1"/>
  <c r="AR11" i="3"/>
  <c r="AW11" i="3" s="1"/>
  <c r="AP11" i="3"/>
  <c r="AU11" i="3" s="1"/>
  <c r="AQ11" i="3"/>
  <c r="AV11" i="3" s="1"/>
  <c r="AS11" i="3"/>
  <c r="AR35" i="3"/>
  <c r="AW35" i="3" s="1"/>
  <c r="AP35" i="3"/>
  <c r="AU35" i="3" s="1"/>
  <c r="AQ35" i="3"/>
  <c r="AV35" i="3" s="1"/>
  <c r="AS35" i="3"/>
  <c r="AR36" i="3"/>
  <c r="AW36" i="3" s="1"/>
  <c r="AQ36" i="3"/>
  <c r="AV36" i="3" s="1"/>
  <c r="AS36" i="3"/>
  <c r="AX36" i="3" s="1"/>
  <c r="AP36" i="3"/>
  <c r="AP14" i="3"/>
  <c r="AR14" i="3"/>
  <c r="AW14" i="3" s="1"/>
  <c r="AQ14" i="3"/>
  <c r="AV14" i="3" s="1"/>
  <c r="AS14" i="3"/>
  <c r="AX14" i="3" s="1"/>
  <c r="AR39" i="3"/>
  <c r="AW39" i="3" s="1"/>
  <c r="AQ39" i="3"/>
  <c r="AV39" i="3" s="1"/>
  <c r="AS39" i="3"/>
  <c r="AX39" i="3" s="1"/>
  <c r="AP39" i="3"/>
  <c r="AR25" i="3"/>
  <c r="AW25" i="3" s="1"/>
  <c r="AP25" i="3"/>
  <c r="AQ25" i="3"/>
  <c r="AV25" i="3" s="1"/>
  <c r="AS25" i="3"/>
  <c r="AX25" i="3" s="1"/>
  <c r="AP33" i="3"/>
  <c r="AU33" i="3" s="1"/>
  <c r="AR33" i="3"/>
  <c r="AW33" i="3" s="1"/>
  <c r="AQ33" i="3"/>
  <c r="AV33" i="3" s="1"/>
  <c r="AS33" i="3"/>
  <c r="BD31" i="3"/>
  <c r="BH31" i="3"/>
  <c r="BI31" i="3" s="1"/>
  <c r="BD34" i="3"/>
  <c r="BH34" i="3"/>
  <c r="BI34" i="3" s="1"/>
  <c r="BD40" i="3"/>
  <c r="BH40" i="3"/>
  <c r="BI40" i="3" s="1"/>
  <c r="BD14" i="3"/>
  <c r="BH14" i="3"/>
  <c r="BI14" i="3" s="1"/>
  <c r="BD27" i="3"/>
  <c r="BE27" i="3"/>
  <c r="BI27" i="3" s="1"/>
  <c r="AQ22" i="3"/>
  <c r="AV22" i="3" s="1"/>
  <c r="AR22" i="3"/>
  <c r="AW22" i="3" s="1"/>
  <c r="AP22" i="3"/>
  <c r="AU22" i="3" s="1"/>
  <c r="AS22" i="3"/>
  <c r="AP13" i="3"/>
  <c r="AR13" i="3"/>
  <c r="AW13" i="3" s="1"/>
  <c r="AQ13" i="3"/>
  <c r="AV13" i="3" s="1"/>
  <c r="AS13" i="3"/>
  <c r="AX13" i="3" s="1"/>
  <c r="AR34" i="3"/>
  <c r="AW34" i="3" s="1"/>
  <c r="AP34" i="3"/>
  <c r="AU34" i="3" s="1"/>
  <c r="AQ34" i="3"/>
  <c r="AV34" i="3" s="1"/>
  <c r="AS34" i="3"/>
  <c r="BD39" i="3"/>
  <c r="BE39" i="3"/>
  <c r="BI39" i="3" s="1"/>
  <c r="BE29" i="3"/>
  <c r="BI29" i="3" s="1"/>
  <c r="BD29" i="3"/>
  <c r="AQ19" i="3"/>
  <c r="AV19" i="3" s="1"/>
  <c r="AR19" i="3"/>
  <c r="AW19" i="3" s="1"/>
  <c r="AP19" i="3"/>
  <c r="AU19" i="3" s="1"/>
  <c r="AS19" i="3"/>
  <c r="AR8" i="3"/>
  <c r="AW8" i="3" s="1"/>
  <c r="AQ8" i="3"/>
  <c r="AV8" i="3" s="1"/>
  <c r="AS8" i="3"/>
  <c r="AX8" i="3" s="1"/>
  <c r="AP8" i="3"/>
  <c r="AR32" i="3"/>
  <c r="AW32" i="3" s="1"/>
  <c r="AP32" i="3"/>
  <c r="AU32" i="3" s="1"/>
  <c r="AQ32" i="3"/>
  <c r="AV32" i="3" s="1"/>
  <c r="AS32" i="3"/>
  <c r="BE26" i="3"/>
  <c r="BI26" i="3" s="1"/>
  <c r="BD26" i="3"/>
  <c r="AP30" i="3"/>
  <c r="AR30" i="3"/>
  <c r="AW30" i="3" s="1"/>
  <c r="AQ30" i="3"/>
  <c r="AV30" i="3" s="1"/>
  <c r="AS30" i="3"/>
  <c r="AX30" i="3" s="1"/>
  <c r="AR23" i="3"/>
  <c r="AW23" i="3" s="1"/>
  <c r="AQ23" i="3"/>
  <c r="AV23" i="3" s="1"/>
  <c r="AP23" i="3"/>
  <c r="AS23" i="3"/>
  <c r="AX23" i="3" s="1"/>
  <c r="AR26" i="3"/>
  <c r="AW26" i="3" s="1"/>
  <c r="AP26" i="3"/>
  <c r="AU26" i="3" s="1"/>
  <c r="AQ26" i="3"/>
  <c r="AV26" i="3" s="1"/>
  <c r="AS26" i="3"/>
  <c r="AR12" i="3"/>
  <c r="AW12" i="3" s="1"/>
  <c r="AP12" i="3"/>
  <c r="AU12" i="3" s="1"/>
  <c r="AQ12" i="3"/>
  <c r="AV12" i="3" s="1"/>
  <c r="AS12" i="3"/>
  <c r="AP31" i="3"/>
  <c r="AU31" i="3" s="1"/>
  <c r="AR31" i="3"/>
  <c r="AW31" i="3" s="1"/>
  <c r="AQ31" i="3"/>
  <c r="AV31" i="3" s="1"/>
  <c r="AS31" i="3"/>
  <c r="AQ7" i="3"/>
  <c r="AV7" i="3" s="1"/>
  <c r="AR7" i="3"/>
  <c r="AW7" i="3" s="1"/>
  <c r="AP7" i="3"/>
  <c r="AU7" i="3" s="1"/>
  <c r="AS7" i="3"/>
  <c r="AR27" i="3"/>
  <c r="AW27" i="3" s="1"/>
  <c r="AQ27" i="3"/>
  <c r="AV27" i="3" s="1"/>
  <c r="AP27" i="3"/>
  <c r="AS27" i="3"/>
  <c r="AX27" i="3" s="1"/>
  <c r="AR28" i="3"/>
  <c r="AW28" i="3" s="1"/>
  <c r="AQ28" i="3"/>
  <c r="AV28" i="3" s="1"/>
  <c r="AP28" i="3"/>
  <c r="AS28" i="3"/>
  <c r="AX28" i="3" s="1"/>
  <c r="AQ5" i="3"/>
  <c r="AV5" i="3" s="1"/>
  <c r="AR5" i="3"/>
  <c r="AW5" i="3" s="1"/>
  <c r="AP5" i="3"/>
  <c r="AU5" i="3" s="1"/>
  <c r="AS5" i="3"/>
  <c r="AQ21" i="3"/>
  <c r="AV21" i="3" s="1"/>
  <c r="AR21" i="3"/>
  <c r="AW21" i="3" s="1"/>
  <c r="AP21" i="3"/>
  <c r="AU21" i="3" s="1"/>
  <c r="AS21" i="3"/>
  <c r="BE23" i="3"/>
  <c r="BI23" i="3" s="1"/>
  <c r="BD23" i="3"/>
  <c r="BD25" i="3"/>
  <c r="BE25" i="3"/>
  <c r="BI25" i="3" s="1"/>
  <c r="BD15" i="3"/>
  <c r="BH15" i="3"/>
  <c r="BI15" i="3" s="1"/>
  <c r="BD5" i="3"/>
  <c r="BH5" i="3"/>
  <c r="BI5" i="3" s="1"/>
  <c r="BD20" i="3"/>
  <c r="BH20" i="3"/>
  <c r="BI20" i="3" s="1"/>
  <c r="BD19" i="3"/>
  <c r="BH19" i="3"/>
  <c r="BI19" i="3" s="1"/>
  <c r="BD21" i="3"/>
  <c r="BH21" i="3"/>
  <c r="BI21" i="3" s="1"/>
  <c r="BD28" i="3"/>
  <c r="BE28" i="3"/>
  <c r="BI28" i="3" s="1"/>
  <c r="BD9" i="3"/>
  <c r="BH9" i="3"/>
  <c r="BI9" i="3" s="1"/>
  <c r="BD10" i="3"/>
  <c r="BH10" i="3"/>
  <c r="BI10" i="3" s="1"/>
  <c r="BD7" i="3"/>
  <c r="BH7" i="3"/>
  <c r="BI7" i="3" s="1"/>
  <c r="BD16" i="3"/>
  <c r="BH16" i="3"/>
  <c r="BI16" i="3" s="1"/>
  <c r="BD11" i="3"/>
  <c r="BH11" i="3"/>
  <c r="BI11" i="3" s="1"/>
  <c r="BD12" i="3"/>
  <c r="BH12" i="3"/>
  <c r="BI12" i="3" s="1"/>
  <c r="BD13" i="3"/>
  <c r="BH13" i="3"/>
  <c r="BI13" i="3" s="1"/>
  <c r="BD37" i="3"/>
  <c r="BH37" i="3"/>
  <c r="BI37" i="3" s="1"/>
  <c r="BE33" i="3"/>
  <c r="BI33" i="3" s="1"/>
  <c r="BD33" i="3"/>
  <c r="BE30" i="3"/>
  <c r="BI30" i="3" s="1"/>
  <c r="BD30" i="3"/>
  <c r="BD51" i="3"/>
  <c r="BI43" i="3"/>
  <c r="BD43" i="3"/>
  <c r="BI47" i="3"/>
  <c r="BE42" i="3"/>
  <c r="BD42" i="3"/>
  <c r="BD47" i="3"/>
  <c r="BD50" i="3"/>
  <c r="BI49" i="3"/>
  <c r="BI50" i="3"/>
  <c r="AM282" i="6"/>
  <c r="AM285" i="6" s="1"/>
  <c r="AM280" i="6"/>
  <c r="AM281" i="6"/>
  <c r="AM254" i="6"/>
  <c r="AM266" i="6"/>
  <c r="AM268" i="6"/>
  <c r="AM275" i="6"/>
  <c r="AM253" i="6"/>
  <c r="AM277" i="6"/>
  <c r="AM259" i="6"/>
  <c r="AM265" i="6"/>
  <c r="BD49" i="3"/>
  <c r="BI46" i="3"/>
  <c r="AR249" i="6"/>
  <c r="AR241" i="6"/>
  <c r="AR233" i="6"/>
  <c r="AR225" i="6"/>
  <c r="AR248" i="6"/>
  <c r="AR240" i="6"/>
  <c r="AR232" i="6"/>
  <c r="AR224" i="6"/>
  <c r="AR245" i="6"/>
  <c r="AR237" i="6"/>
  <c r="AR252" i="6"/>
  <c r="AR244" i="6"/>
  <c r="AR228" i="6"/>
  <c r="AR251" i="6"/>
  <c r="AR243" i="6"/>
  <c r="AR227" i="6"/>
  <c r="AR242" i="6"/>
  <c r="AR226" i="6"/>
  <c r="AR247" i="6"/>
  <c r="AR239" i="6"/>
  <c r="AR231" i="6"/>
  <c r="AR223" i="6"/>
  <c r="AR246" i="6"/>
  <c r="AR238" i="6"/>
  <c r="AR230" i="6"/>
  <c r="AR222" i="6"/>
  <c r="AR229" i="6"/>
  <c r="AR236" i="6"/>
  <c r="AR235" i="6"/>
  <c r="AR250" i="6"/>
  <c r="AR234" i="6"/>
  <c r="AM264" i="6"/>
  <c r="BD48" i="3"/>
  <c r="BD45" i="3"/>
  <c r="BD46" i="3"/>
  <c r="BH42" i="3"/>
  <c r="AR42" i="3"/>
  <c r="AW42" i="3" s="1"/>
  <c r="AQ42" i="3"/>
  <c r="AV42" i="3" s="1"/>
  <c r="AS42" i="3"/>
  <c r="AX42" i="3" s="1"/>
  <c r="AP42" i="3"/>
  <c r="J274" i="6"/>
  <c r="J272" i="6"/>
  <c r="J273" i="6"/>
  <c r="J269" i="6"/>
  <c r="J275" i="6"/>
  <c r="J277" i="6"/>
  <c r="J276" i="6"/>
  <c r="J268" i="6"/>
  <c r="J271" i="6"/>
  <c r="J270" i="6"/>
  <c r="BI45" i="3"/>
  <c r="AM270" i="6"/>
  <c r="AM261" i="6"/>
  <c r="AM269" i="6"/>
  <c r="AM263" i="6"/>
  <c r="AM260" i="6"/>
  <c r="AM256" i="6"/>
  <c r="AM258" i="6"/>
  <c r="AM262" i="6"/>
  <c r="AM267" i="6"/>
  <c r="AM272" i="6"/>
  <c r="AM278" i="6"/>
  <c r="AM276" i="6"/>
  <c r="AM279" i="6"/>
  <c r="BD41" i="3"/>
  <c r="BH41" i="3"/>
  <c r="BI41" i="3" s="1"/>
  <c r="AR41" i="3"/>
  <c r="AW41" i="3" s="1"/>
  <c r="AP41" i="3"/>
  <c r="AU41" i="3" s="1"/>
  <c r="AQ41" i="3"/>
  <c r="AV41" i="3" s="1"/>
  <c r="AS41" i="3"/>
  <c r="AR48" i="3"/>
  <c r="AW48" i="3" s="1"/>
  <c r="AQ48" i="3"/>
  <c r="AV48" i="3" s="1"/>
  <c r="AS48" i="3"/>
  <c r="AX48" i="3" s="1"/>
  <c r="AP48" i="3"/>
  <c r="AR49" i="3"/>
  <c r="AW49" i="3" s="1"/>
  <c r="AQ49" i="3"/>
  <c r="AV49" i="3" s="1"/>
  <c r="AP49" i="3"/>
  <c r="AU49" i="3" s="1"/>
  <c r="AS49" i="3"/>
  <c r="AR51" i="3"/>
  <c r="AW51" i="3" s="1"/>
  <c r="AQ51" i="3"/>
  <c r="AV51" i="3" s="1"/>
  <c r="AP51" i="3"/>
  <c r="AU51" i="3" s="1"/>
  <c r="AS51" i="3"/>
  <c r="AR52" i="3"/>
  <c r="AW52" i="3" s="1"/>
  <c r="AQ52" i="3"/>
  <c r="AV52" i="3" s="1"/>
  <c r="AP52" i="3"/>
  <c r="AS52" i="3"/>
  <c r="AX52" i="3" s="1"/>
  <c r="AR46" i="3"/>
  <c r="AW46" i="3" s="1"/>
  <c r="AP46" i="3"/>
  <c r="AU46" i="3" s="1"/>
  <c r="AQ46" i="3"/>
  <c r="AV46" i="3" s="1"/>
  <c r="AS46" i="3"/>
  <c r="AR43" i="3"/>
  <c r="AW43" i="3" s="1"/>
  <c r="AP43" i="3"/>
  <c r="AU43" i="3" s="1"/>
  <c r="AQ43" i="3"/>
  <c r="AV43" i="3" s="1"/>
  <c r="AS43" i="3"/>
  <c r="AR4" i="3"/>
  <c r="AW4" i="3" s="1"/>
  <c r="AP4" i="3"/>
  <c r="AU4" i="3" s="1"/>
  <c r="AQ4" i="3"/>
  <c r="AV4" i="3" s="1"/>
  <c r="AS4" i="3"/>
  <c r="AR45" i="3"/>
  <c r="AW45" i="3" s="1"/>
  <c r="AP45" i="3"/>
  <c r="AU45" i="3" s="1"/>
  <c r="AQ45" i="3"/>
  <c r="AV45" i="3" s="1"/>
  <c r="AS45" i="3"/>
  <c r="AR47" i="3"/>
  <c r="AW47" i="3" s="1"/>
  <c r="AQ47" i="3"/>
  <c r="AV47" i="3" s="1"/>
  <c r="AP47" i="3"/>
  <c r="AS47" i="3"/>
  <c r="AX47" i="3" s="1"/>
  <c r="AR50" i="3"/>
  <c r="AW50" i="3" s="1"/>
  <c r="AQ50" i="3"/>
  <c r="AV50" i="3" s="1"/>
  <c r="AP50" i="3"/>
  <c r="AU50" i="3" s="1"/>
  <c r="AS50" i="3"/>
  <c r="AR44" i="3"/>
  <c r="AW44" i="3" s="1"/>
  <c r="AP44" i="3"/>
  <c r="AQ44" i="3"/>
  <c r="AV44" i="3" s="1"/>
  <c r="AS44" i="3"/>
  <c r="AX44" i="3" s="1"/>
  <c r="R253" i="6"/>
  <c r="R259" i="6"/>
  <c r="R249" i="6"/>
  <c r="R260" i="6"/>
  <c r="R252" i="6"/>
  <c r="R265" i="6"/>
  <c r="R264" i="6"/>
  <c r="R255" i="6"/>
  <c r="R257" i="6"/>
  <c r="R261" i="6"/>
  <c r="R263" i="6"/>
  <c r="R266" i="6"/>
  <c r="R262" i="6"/>
  <c r="R258" i="6"/>
  <c r="R248" i="6"/>
  <c r="R267" i="6"/>
  <c r="R256" i="6"/>
  <c r="R250" i="6"/>
  <c r="R251" i="6"/>
  <c r="R254" i="6"/>
  <c r="AK248" i="6"/>
  <c r="AK242" i="6"/>
  <c r="AK229" i="6"/>
  <c r="AK231" i="6"/>
  <c r="AK226" i="6"/>
  <c r="AK239" i="6"/>
  <c r="AK245" i="6"/>
  <c r="AK250" i="6"/>
  <c r="AK234" i="6"/>
  <c r="AK241" i="6"/>
  <c r="AK236" i="6"/>
  <c r="AK246" i="6"/>
  <c r="AK247" i="6"/>
  <c r="AK252" i="6"/>
  <c r="AK249" i="6"/>
  <c r="AK224" i="6"/>
  <c r="AK237" i="6"/>
  <c r="AK225" i="6"/>
  <c r="AK227" i="6"/>
  <c r="AK244" i="6"/>
  <c r="AK222" i="6"/>
  <c r="AK238" i="6"/>
  <c r="AK240" i="6"/>
  <c r="AK228" i="6"/>
  <c r="AK233" i="6"/>
  <c r="AK223" i="6"/>
  <c r="AK251" i="6"/>
  <c r="AK232" i="6"/>
  <c r="AK235" i="6"/>
  <c r="AK230" i="6"/>
  <c r="AK243" i="6"/>
  <c r="AP53" i="3"/>
  <c r="AQ53" i="3"/>
  <c r="AV53" i="3" s="1"/>
  <c r="AR53" i="3"/>
  <c r="AW53" i="3" s="1"/>
  <c r="AS53" i="3"/>
  <c r="AX53" i="3" s="1"/>
  <c r="F272" i="6"/>
  <c r="F269" i="6"/>
  <c r="F270" i="6"/>
  <c r="F275" i="6"/>
  <c r="F268" i="6"/>
  <c r="F271" i="6"/>
  <c r="F274" i="6"/>
  <c r="F273" i="6"/>
  <c r="F276" i="6"/>
  <c r="F277" i="6"/>
  <c r="AC257" i="6"/>
  <c r="AC251" i="6"/>
  <c r="AC256" i="6"/>
  <c r="AC254" i="6"/>
  <c r="AC260" i="6"/>
  <c r="AC252" i="6"/>
  <c r="AC263" i="6"/>
  <c r="AC249" i="6"/>
  <c r="AC250" i="6"/>
  <c r="AC261" i="6"/>
  <c r="AC265" i="6"/>
  <c r="AC258" i="6"/>
  <c r="AC262" i="6"/>
  <c r="AC267" i="6"/>
  <c r="AC264" i="6"/>
  <c r="AC268" i="6"/>
  <c r="AC266" i="6"/>
  <c r="AC253" i="6"/>
  <c r="AC259" i="6"/>
  <c r="AC255" i="6"/>
  <c r="R308" i="6"/>
  <c r="R300" i="6"/>
  <c r="R307" i="6"/>
  <c r="R302" i="6"/>
  <c r="R306" i="6"/>
  <c r="R305" i="6"/>
  <c r="R304" i="6"/>
  <c r="R303" i="6"/>
  <c r="R299" i="6"/>
  <c r="R298" i="6"/>
  <c r="R301" i="6"/>
  <c r="V338" i="6"/>
  <c r="V336" i="6"/>
  <c r="V331" i="6"/>
  <c r="V335" i="6"/>
  <c r="V334" i="6"/>
  <c r="V330" i="6"/>
  <c r="V332" i="6"/>
  <c r="V337" i="6"/>
  <c r="V333" i="6"/>
  <c r="V329" i="6"/>
  <c r="J283" i="6"/>
  <c r="J293" i="6"/>
  <c r="J280" i="6"/>
  <c r="J294" i="6"/>
  <c r="J284" i="6"/>
  <c r="J287" i="6"/>
  <c r="J285" i="6"/>
  <c r="J290" i="6"/>
  <c r="J292" i="6"/>
  <c r="J279" i="6"/>
  <c r="J289" i="6"/>
  <c r="J282" i="6"/>
  <c r="J286" i="6"/>
  <c r="J278" i="6"/>
  <c r="J295" i="6"/>
  <c r="J291" i="6"/>
  <c r="J281" i="6"/>
  <c r="J288" i="6"/>
  <c r="J296" i="6"/>
  <c r="J297" i="6"/>
  <c r="N273" i="6"/>
  <c r="N269" i="6"/>
  <c r="N274" i="6"/>
  <c r="N277" i="6"/>
  <c r="N270" i="6"/>
  <c r="N275" i="6"/>
  <c r="N268" i="6"/>
  <c r="N271" i="6"/>
  <c r="N276" i="6"/>
  <c r="N272" i="6"/>
  <c r="F267" i="6"/>
  <c r="F266" i="6"/>
  <c r="F260" i="6"/>
  <c r="F263" i="6"/>
  <c r="F261" i="6"/>
  <c r="F264" i="6"/>
  <c r="F251" i="6"/>
  <c r="F256" i="6"/>
  <c r="F255" i="6"/>
  <c r="F257" i="6"/>
  <c r="F262" i="6"/>
  <c r="F258" i="6"/>
  <c r="F254" i="6"/>
  <c r="F265" i="6"/>
  <c r="F248" i="6"/>
  <c r="F249" i="6"/>
  <c r="F259" i="6"/>
  <c r="F253" i="6"/>
  <c r="F250" i="6"/>
  <c r="F252" i="6"/>
  <c r="AM286" i="6"/>
  <c r="AM309" i="6"/>
  <c r="AM289" i="6"/>
  <c r="AM290" i="6"/>
  <c r="AM312" i="6"/>
  <c r="AM310" i="6"/>
  <c r="AM299" i="6"/>
  <c r="AM303" i="6"/>
  <c r="AC272" i="6"/>
  <c r="AC270" i="6"/>
  <c r="AC269" i="6"/>
  <c r="AC274" i="6"/>
  <c r="AC273" i="6"/>
  <c r="AC275" i="6"/>
  <c r="AC276" i="6"/>
  <c r="AC271" i="6"/>
  <c r="AC278" i="6"/>
  <c r="AC277" i="6"/>
  <c r="N281" i="6"/>
  <c r="N280" i="6"/>
  <c r="N282" i="6"/>
  <c r="N279" i="6"/>
  <c r="N291" i="6"/>
  <c r="N284" i="6"/>
  <c r="N288" i="6"/>
  <c r="N286" i="6"/>
  <c r="N297" i="6"/>
  <c r="N290" i="6"/>
  <c r="N296" i="6"/>
  <c r="N294" i="6"/>
  <c r="N287" i="6"/>
  <c r="N289" i="6"/>
  <c r="N283" i="6"/>
  <c r="N278" i="6"/>
  <c r="N285" i="6"/>
  <c r="N292" i="6"/>
  <c r="N293" i="6"/>
  <c r="N295" i="6"/>
  <c r="V296" i="6"/>
  <c r="V291" i="6"/>
  <c r="V294" i="6"/>
  <c r="V292" i="6"/>
  <c r="V290" i="6"/>
  <c r="V280" i="6"/>
  <c r="V295" i="6"/>
  <c r="V282" i="6"/>
  <c r="V281" i="6"/>
  <c r="V286" i="6"/>
  <c r="V293" i="6"/>
  <c r="V283" i="6"/>
  <c r="V284" i="6"/>
  <c r="V279" i="6"/>
  <c r="V288" i="6"/>
  <c r="V287" i="6"/>
  <c r="V289" i="6"/>
  <c r="V285" i="6"/>
  <c r="V297" i="6"/>
  <c r="V278" i="6"/>
  <c r="AO62" i="3"/>
  <c r="BT53" i="3" l="1"/>
  <c r="BI42" i="3"/>
  <c r="BT42" i="3" s="1"/>
  <c r="AM287" i="6"/>
  <c r="AM283" i="6"/>
  <c r="AM302" i="6"/>
  <c r="AM304" i="6"/>
  <c r="AM298" i="6"/>
  <c r="AM288" i="6"/>
  <c r="AM301" i="6"/>
  <c r="AM306" i="6"/>
  <c r="AM295" i="6"/>
  <c r="AM311" i="6"/>
  <c r="AM284" i="6"/>
  <c r="AM308" i="6"/>
  <c r="AM305" i="6"/>
  <c r="AM291" i="6"/>
  <c r="AM294" i="6"/>
  <c r="AM297" i="6"/>
  <c r="AM292" i="6"/>
  <c r="AM313" i="6"/>
  <c r="AM314" i="6" s="1"/>
  <c r="AM300" i="6"/>
  <c r="AM307" i="6"/>
  <c r="AM296" i="6"/>
  <c r="AM293" i="6"/>
  <c r="BT51" i="3"/>
  <c r="BT4" i="3"/>
  <c r="BT44" i="3"/>
  <c r="BT46" i="3"/>
  <c r="BT52" i="3"/>
  <c r="BT23" i="3"/>
  <c r="BT26" i="3"/>
  <c r="BT38" i="3"/>
  <c r="BT36" i="3"/>
  <c r="BT8" i="3"/>
  <c r="BT32" i="3"/>
  <c r="BT17" i="3"/>
  <c r="BT5" i="3"/>
  <c r="BT25" i="3"/>
  <c r="BT34" i="3"/>
  <c r="BT48" i="3"/>
  <c r="BT7" i="3"/>
  <c r="BT13" i="3"/>
  <c r="BT33" i="3"/>
  <c r="BT37" i="3"/>
  <c r="BT29" i="3"/>
  <c r="BT39" i="3"/>
  <c r="AU9" i="3"/>
  <c r="AY9" i="3" s="1"/>
  <c r="AT9" i="3"/>
  <c r="BT10" i="3"/>
  <c r="AT31" i="3"/>
  <c r="AX31" i="3"/>
  <c r="AY31" i="3" s="1"/>
  <c r="AT12" i="3"/>
  <c r="AX12" i="3"/>
  <c r="AY12" i="3" s="1"/>
  <c r="AT33" i="3"/>
  <c r="AX33" i="3"/>
  <c r="AY33" i="3" s="1"/>
  <c r="AT39" i="3"/>
  <c r="AU39" i="3"/>
  <c r="AY39" i="3" s="1"/>
  <c r="AT36" i="3"/>
  <c r="AU36" i="3"/>
  <c r="AY36" i="3" s="1"/>
  <c r="AT35" i="3"/>
  <c r="AX35" i="3"/>
  <c r="AY35" i="3" s="1"/>
  <c r="AT11" i="3"/>
  <c r="AX11" i="3"/>
  <c r="AY11" i="3" s="1"/>
  <c r="AT15" i="3"/>
  <c r="AX15" i="3"/>
  <c r="AY15" i="3" s="1"/>
  <c r="AT37" i="3"/>
  <c r="AX37" i="3"/>
  <c r="AY37" i="3" s="1"/>
  <c r="AT16" i="3"/>
  <c r="AX16" i="3"/>
  <c r="AY16" i="3" s="1"/>
  <c r="AT29" i="3"/>
  <c r="AX29" i="3"/>
  <c r="AY29" i="3" s="1"/>
  <c r="BT24" i="3"/>
  <c r="BT30" i="3"/>
  <c r="BT12" i="3"/>
  <c r="BT20" i="3"/>
  <c r="BT15" i="3"/>
  <c r="AT28" i="3"/>
  <c r="AU28" i="3"/>
  <c r="AY28" i="3" s="1"/>
  <c r="AT27" i="3"/>
  <c r="AU27" i="3"/>
  <c r="AY27" i="3" s="1"/>
  <c r="AU23" i="3"/>
  <c r="AY23" i="3" s="1"/>
  <c r="AT23" i="3"/>
  <c r="AU13" i="3"/>
  <c r="AY13" i="3" s="1"/>
  <c r="AT13" i="3"/>
  <c r="BT14" i="3"/>
  <c r="AU6" i="3"/>
  <c r="AY6" i="3" s="1"/>
  <c r="AT6" i="3"/>
  <c r="AT24" i="3"/>
  <c r="AU24" i="3"/>
  <c r="AY24" i="3" s="1"/>
  <c r="BT22" i="3"/>
  <c r="AU30" i="3"/>
  <c r="AY30" i="3" s="1"/>
  <c r="AT30" i="3"/>
  <c r="AU14" i="3"/>
  <c r="AY14" i="3" s="1"/>
  <c r="AT14" i="3"/>
  <c r="BT16" i="3"/>
  <c r="BT21" i="3"/>
  <c r="AT21" i="3"/>
  <c r="AX21" i="3"/>
  <c r="AY21" i="3" s="1"/>
  <c r="AT5" i="3"/>
  <c r="AX5" i="3"/>
  <c r="AY5" i="3" s="1"/>
  <c r="AT7" i="3"/>
  <c r="AX7" i="3"/>
  <c r="AY7" i="3" s="1"/>
  <c r="AT26" i="3"/>
  <c r="AX26" i="3"/>
  <c r="AY26" i="3" s="1"/>
  <c r="BT31" i="3"/>
  <c r="BT11" i="3"/>
  <c r="BT9" i="3"/>
  <c r="BT28" i="3"/>
  <c r="BT19" i="3"/>
  <c r="AT32" i="3"/>
  <c r="AX32" i="3"/>
  <c r="AY32" i="3" s="1"/>
  <c r="AT8" i="3"/>
  <c r="AU8" i="3"/>
  <c r="AY8" i="3" s="1"/>
  <c r="AT19" i="3"/>
  <c r="AX19" i="3"/>
  <c r="AY19" i="3" s="1"/>
  <c r="AT34" i="3"/>
  <c r="AX34" i="3"/>
  <c r="AY34" i="3" s="1"/>
  <c r="AT22" i="3"/>
  <c r="AX22" i="3"/>
  <c r="AY22" i="3" s="1"/>
  <c r="BT27" i="3"/>
  <c r="BT40" i="3"/>
  <c r="AU25" i="3"/>
  <c r="AY25" i="3" s="1"/>
  <c r="AT25" i="3"/>
  <c r="BT35" i="3"/>
  <c r="BT18" i="3"/>
  <c r="BT6" i="3"/>
  <c r="AT40" i="3"/>
  <c r="AX40" i="3"/>
  <c r="AY40" i="3" s="1"/>
  <c r="AT20" i="3"/>
  <c r="AX20" i="3"/>
  <c r="AY20" i="3" s="1"/>
  <c r="AT10" i="3"/>
  <c r="AX10" i="3"/>
  <c r="AY10" i="3" s="1"/>
  <c r="AT38" i="3"/>
  <c r="AU38" i="3"/>
  <c r="AY38" i="3" s="1"/>
  <c r="AT17" i="3"/>
  <c r="AX17" i="3"/>
  <c r="AY17" i="3" s="1"/>
  <c r="AT18" i="3"/>
  <c r="AX18" i="3"/>
  <c r="AY18" i="3" s="1"/>
  <c r="BT43" i="3"/>
  <c r="BT47" i="3"/>
  <c r="BT50" i="3"/>
  <c r="AT42" i="3"/>
  <c r="AT52" i="3"/>
  <c r="BT49" i="3"/>
  <c r="BT45" i="3"/>
  <c r="AT41" i="3"/>
  <c r="AX41" i="3"/>
  <c r="AY41" i="3" s="1"/>
  <c r="BT41" i="3"/>
  <c r="AU42" i="3"/>
  <c r="AY42" i="3" s="1"/>
  <c r="J306" i="6"/>
  <c r="J304" i="6"/>
  <c r="J300" i="6"/>
  <c r="J307" i="6"/>
  <c r="J303" i="6"/>
  <c r="J301" i="6"/>
  <c r="J302" i="6"/>
  <c r="J298" i="6"/>
  <c r="J308" i="6"/>
  <c r="J305" i="6"/>
  <c r="J299" i="6"/>
  <c r="AR277" i="6"/>
  <c r="AR269" i="6"/>
  <c r="AR261" i="6"/>
  <c r="AR253" i="6"/>
  <c r="AR276" i="6"/>
  <c r="AR268" i="6"/>
  <c r="AR260" i="6"/>
  <c r="AR265" i="6"/>
  <c r="AR280" i="6"/>
  <c r="AR264" i="6"/>
  <c r="AR256" i="6"/>
  <c r="AR263" i="6"/>
  <c r="AR278" i="6"/>
  <c r="AR262" i="6"/>
  <c r="AR254" i="6"/>
  <c r="AR275" i="6"/>
  <c r="AR267" i="6"/>
  <c r="AR259" i="6"/>
  <c r="AR282" i="6"/>
  <c r="AR274" i="6"/>
  <c r="AR266" i="6"/>
  <c r="AR258" i="6"/>
  <c r="AR281" i="6"/>
  <c r="AR273" i="6"/>
  <c r="AR257" i="6"/>
  <c r="AR272" i="6"/>
  <c r="AR279" i="6"/>
  <c r="AR271" i="6"/>
  <c r="AR255" i="6"/>
  <c r="AR270" i="6"/>
  <c r="AU44" i="3"/>
  <c r="AY44" i="3" s="1"/>
  <c r="AT44" i="3"/>
  <c r="AT45" i="3"/>
  <c r="AX45" i="3"/>
  <c r="AY45" i="3" s="1"/>
  <c r="AT46" i="3"/>
  <c r="AX46" i="3"/>
  <c r="AY46" i="3" s="1"/>
  <c r="AU52" i="3"/>
  <c r="AY52" i="3" s="1"/>
  <c r="AT51" i="3"/>
  <c r="AX51" i="3"/>
  <c r="AY51" i="3" s="1"/>
  <c r="AT49" i="3"/>
  <c r="AX49" i="3"/>
  <c r="AY49" i="3" s="1"/>
  <c r="AT50" i="3"/>
  <c r="AX50" i="3"/>
  <c r="AY50" i="3" s="1"/>
  <c r="AT47" i="3"/>
  <c r="AU47" i="3"/>
  <c r="AY47" i="3" s="1"/>
  <c r="AT4" i="3"/>
  <c r="AX4" i="3"/>
  <c r="AY4" i="3" s="1"/>
  <c r="AT43" i="3"/>
  <c r="AX43" i="3"/>
  <c r="AY43" i="3" s="1"/>
  <c r="AU48" i="3"/>
  <c r="AY48" i="3" s="1"/>
  <c r="AT48" i="3"/>
  <c r="R297" i="6"/>
  <c r="R296" i="6"/>
  <c r="R289" i="6"/>
  <c r="R280" i="6"/>
  <c r="R292" i="6"/>
  <c r="R295" i="6"/>
  <c r="R290" i="6"/>
  <c r="R288" i="6"/>
  <c r="R293" i="6"/>
  <c r="R291" i="6"/>
  <c r="R284" i="6"/>
  <c r="R279" i="6"/>
  <c r="R283" i="6"/>
  <c r="R294" i="6"/>
  <c r="R285" i="6"/>
  <c r="R282" i="6"/>
  <c r="R281" i="6"/>
  <c r="R287" i="6"/>
  <c r="R278" i="6"/>
  <c r="R286" i="6"/>
  <c r="AK272" i="6"/>
  <c r="AK258" i="6"/>
  <c r="AK277" i="6"/>
  <c r="AK262" i="6"/>
  <c r="AK254" i="6"/>
  <c r="AK260" i="6"/>
  <c r="AK267" i="6"/>
  <c r="AK278" i="6"/>
  <c r="AK253" i="6"/>
  <c r="AK257" i="6"/>
  <c r="AK265" i="6"/>
  <c r="AK261" i="6"/>
  <c r="AK273" i="6"/>
  <c r="AK268" i="6"/>
  <c r="AK281" i="6"/>
  <c r="AK269" i="6"/>
  <c r="AK274" i="6"/>
  <c r="AK255" i="6"/>
  <c r="AK264" i="6"/>
  <c r="AK280" i="6"/>
  <c r="AK263" i="6"/>
  <c r="AK256" i="6"/>
  <c r="AK271" i="6"/>
  <c r="AK270" i="6"/>
  <c r="AK275" i="6"/>
  <c r="AK276" i="6"/>
  <c r="AK282" i="6"/>
  <c r="AK266" i="6"/>
  <c r="AK279" i="6"/>
  <c r="AK259" i="6"/>
  <c r="AU53" i="3"/>
  <c r="AY53" i="3" s="1"/>
  <c r="AT53" i="3"/>
  <c r="AC285" i="6"/>
  <c r="AC281" i="6"/>
  <c r="AC288" i="6"/>
  <c r="AC290" i="6"/>
  <c r="AC293" i="6"/>
  <c r="AC291" i="6"/>
  <c r="AC292" i="6"/>
  <c r="AC296" i="6"/>
  <c r="AC297" i="6"/>
  <c r="AC295" i="6"/>
  <c r="AC287" i="6"/>
  <c r="AC298" i="6"/>
  <c r="AC286" i="6"/>
  <c r="AC289" i="6"/>
  <c r="AC294" i="6"/>
  <c r="AC280" i="6"/>
  <c r="AC283" i="6"/>
  <c r="AC282" i="6"/>
  <c r="AC279" i="6"/>
  <c r="AC284" i="6"/>
  <c r="AC309" i="6"/>
  <c r="AC303" i="6"/>
  <c r="AC302" i="6"/>
  <c r="AC300" i="6"/>
  <c r="AC308" i="6"/>
  <c r="AC304" i="6"/>
  <c r="AC307" i="6"/>
  <c r="AC299" i="6"/>
  <c r="AC301" i="6"/>
  <c r="AC305" i="6"/>
  <c r="AC306" i="6"/>
  <c r="V360" i="6"/>
  <c r="V364" i="6"/>
  <c r="V369" i="6"/>
  <c r="V366" i="6"/>
  <c r="V363" i="6"/>
  <c r="V368" i="6"/>
  <c r="V361" i="6"/>
  <c r="V367" i="6"/>
  <c r="V365" i="6"/>
  <c r="V362" i="6"/>
  <c r="V359" i="6"/>
  <c r="F304" i="6"/>
  <c r="F307" i="6"/>
  <c r="F302" i="6"/>
  <c r="F306" i="6"/>
  <c r="F301" i="6"/>
  <c r="F305" i="6"/>
  <c r="F303" i="6"/>
  <c r="F308" i="6"/>
  <c r="F298" i="6"/>
  <c r="F300" i="6"/>
  <c r="F299" i="6"/>
  <c r="V316" i="6"/>
  <c r="V328" i="6"/>
  <c r="V326" i="6"/>
  <c r="V322" i="6"/>
  <c r="V320" i="6"/>
  <c r="V309" i="6"/>
  <c r="V321" i="6"/>
  <c r="V317" i="6"/>
  <c r="V313" i="6"/>
  <c r="V327" i="6"/>
  <c r="V318" i="6"/>
  <c r="V312" i="6"/>
  <c r="V324" i="6"/>
  <c r="V323" i="6"/>
  <c r="V311" i="6"/>
  <c r="V325" i="6"/>
  <c r="V314" i="6"/>
  <c r="V310" i="6"/>
  <c r="V315" i="6"/>
  <c r="V319" i="6"/>
  <c r="R333" i="6"/>
  <c r="R337" i="6"/>
  <c r="R331" i="6"/>
  <c r="R329" i="6"/>
  <c r="R335" i="6"/>
  <c r="R334" i="6"/>
  <c r="R338" i="6"/>
  <c r="R330" i="6"/>
  <c r="R336" i="6"/>
  <c r="R332" i="6"/>
  <c r="N328" i="6"/>
  <c r="N324" i="6"/>
  <c r="N321" i="6"/>
  <c r="N325" i="6"/>
  <c r="N323" i="6"/>
  <c r="N311" i="6"/>
  <c r="N316" i="6"/>
  <c r="N319" i="6"/>
  <c r="N327" i="6"/>
  <c r="N313" i="6"/>
  <c r="N315" i="6"/>
  <c r="N310" i="6"/>
  <c r="N312" i="6"/>
  <c r="N326" i="6"/>
  <c r="N322" i="6"/>
  <c r="N320" i="6"/>
  <c r="N309" i="6"/>
  <c r="N318" i="6"/>
  <c r="N314" i="6"/>
  <c r="N317" i="6"/>
  <c r="AM316" i="6"/>
  <c r="AM315" i="6"/>
  <c r="AM324" i="6"/>
  <c r="F279" i="6"/>
  <c r="F294" i="6"/>
  <c r="F285" i="6"/>
  <c r="F282" i="6"/>
  <c r="F292" i="6"/>
  <c r="F283" i="6"/>
  <c r="F297" i="6"/>
  <c r="F284" i="6"/>
  <c r="F281" i="6"/>
  <c r="F290" i="6"/>
  <c r="F296" i="6"/>
  <c r="F289" i="6"/>
  <c r="F293" i="6"/>
  <c r="F286" i="6"/>
  <c r="F278" i="6"/>
  <c r="F295" i="6"/>
  <c r="F287" i="6"/>
  <c r="F280" i="6"/>
  <c r="F288" i="6"/>
  <c r="F291" i="6"/>
  <c r="N305" i="6"/>
  <c r="N308" i="6"/>
  <c r="N300" i="6"/>
  <c r="N299" i="6"/>
  <c r="N304" i="6"/>
  <c r="N307" i="6"/>
  <c r="N302" i="6"/>
  <c r="N298" i="6"/>
  <c r="N301" i="6"/>
  <c r="N303" i="6"/>
  <c r="N306" i="6"/>
  <c r="J322" i="6"/>
  <c r="J327" i="6"/>
  <c r="J312" i="6"/>
  <c r="J319" i="6"/>
  <c r="J323" i="6"/>
  <c r="J317" i="6"/>
  <c r="J316" i="6"/>
  <c r="J310" i="6"/>
  <c r="J309" i="6"/>
  <c r="J318" i="6"/>
  <c r="J321" i="6"/>
  <c r="J315" i="6"/>
  <c r="J314" i="6"/>
  <c r="J311" i="6"/>
  <c r="J324" i="6"/>
  <c r="J328" i="6"/>
  <c r="J325" i="6"/>
  <c r="J320" i="6"/>
  <c r="J313" i="6"/>
  <c r="J326" i="6"/>
  <c r="AM317" i="6" l="1"/>
  <c r="AM341" i="6"/>
  <c r="AM323" i="6"/>
  <c r="AM336" i="6"/>
  <c r="BT62" i="3"/>
  <c r="E37" i="11" s="1"/>
  <c r="BJ40" i="3"/>
  <c r="BZ40" i="3" s="1"/>
  <c r="AM319" i="6"/>
  <c r="AM332" i="6"/>
  <c r="AM339" i="6"/>
  <c r="AM335" i="6"/>
  <c r="AM327" i="6"/>
  <c r="AM342" i="6"/>
  <c r="AM331" i="6"/>
  <c r="AM322" i="6"/>
  <c r="AM318" i="6"/>
  <c r="AM333" i="6"/>
  <c r="AM326" i="6"/>
  <c r="AM321" i="6"/>
  <c r="AM338" i="6"/>
  <c r="AM320" i="6"/>
  <c r="AM340" i="6"/>
  <c r="AM330" i="6"/>
  <c r="AM334" i="6"/>
  <c r="AM325" i="6"/>
  <c r="AM329" i="6"/>
  <c r="AM337" i="6"/>
  <c r="AM343" i="6"/>
  <c r="AM355" i="6" s="1"/>
  <c r="AM328" i="6"/>
  <c r="BC62" i="3"/>
  <c r="AZ62" i="3"/>
  <c r="BJ5" i="3"/>
  <c r="CA5" i="3" s="1"/>
  <c r="BS15" i="3"/>
  <c r="BS12" i="3"/>
  <c r="BS26" i="3"/>
  <c r="BS7" i="3"/>
  <c r="BS21" i="3"/>
  <c r="BG62" i="3"/>
  <c r="BA62" i="3"/>
  <c r="BF62" i="3"/>
  <c r="BS31" i="3"/>
  <c r="BB62" i="3"/>
  <c r="BJ16" i="3"/>
  <c r="BY16" i="3" s="1"/>
  <c r="BJ37" i="3"/>
  <c r="CA37" i="3" s="1"/>
  <c r="BS18" i="3"/>
  <c r="BJ38" i="3"/>
  <c r="CA38" i="3" s="1"/>
  <c r="BJ11" i="3"/>
  <c r="BX11" i="3" s="1"/>
  <c r="BJ34" i="3"/>
  <c r="CB34" i="3" s="1"/>
  <c r="BS42" i="3"/>
  <c r="BJ17" i="3"/>
  <c r="BX17" i="3" s="1"/>
  <c r="BJ10" i="3"/>
  <c r="CA10" i="3" s="1"/>
  <c r="BJ14" i="3"/>
  <c r="BX14" i="3" s="1"/>
  <c r="BS20" i="3"/>
  <c r="BS39" i="3"/>
  <c r="CA40" i="3"/>
  <c r="BS32" i="3"/>
  <c r="BJ27" i="3"/>
  <c r="BS27" i="3"/>
  <c r="BJ15" i="3"/>
  <c r="BJ35" i="3"/>
  <c r="BS35" i="3"/>
  <c r="BS36" i="3"/>
  <c r="BJ36" i="3"/>
  <c r="BS33" i="3"/>
  <c r="BJ33" i="3"/>
  <c r="BJ32" i="3"/>
  <c r="BS17" i="3"/>
  <c r="BS10" i="3"/>
  <c r="BS25" i="3"/>
  <c r="BJ25" i="3"/>
  <c r="BS22" i="3"/>
  <c r="BJ22" i="3"/>
  <c r="BS5" i="3"/>
  <c r="BS14" i="3"/>
  <c r="BS24" i="3"/>
  <c r="BJ24" i="3"/>
  <c r="BS6" i="3"/>
  <c r="BJ6" i="3"/>
  <c r="BJ13" i="3"/>
  <c r="BS13" i="3"/>
  <c r="BS16" i="3"/>
  <c r="BS37" i="3"/>
  <c r="BJ12" i="3"/>
  <c r="BS40" i="3"/>
  <c r="BJ23" i="3"/>
  <c r="BS23" i="3"/>
  <c r="BS29" i="3"/>
  <c r="BJ29" i="3"/>
  <c r="BS9" i="3"/>
  <c r="BJ9" i="3"/>
  <c r="BJ19" i="3"/>
  <c r="BS19" i="3"/>
  <c r="BS38" i="3"/>
  <c r="BJ20" i="3"/>
  <c r="BS34" i="3"/>
  <c r="BS8" i="3"/>
  <c r="BJ8" i="3"/>
  <c r="BJ26" i="3"/>
  <c r="BJ7" i="3"/>
  <c r="BJ21" i="3"/>
  <c r="BS30" i="3"/>
  <c r="BJ30" i="3"/>
  <c r="BJ18" i="3"/>
  <c r="BS28" i="3"/>
  <c r="BJ28" i="3"/>
  <c r="BS11" i="3"/>
  <c r="BJ39" i="3"/>
  <c r="BJ31" i="3"/>
  <c r="BJ41" i="3"/>
  <c r="BZ41" i="3" s="1"/>
  <c r="J331" i="6"/>
  <c r="J338" i="6"/>
  <c r="J329" i="6"/>
  <c r="J334" i="6"/>
  <c r="J335" i="6"/>
  <c r="J330" i="6"/>
  <c r="J332" i="6"/>
  <c r="J337" i="6"/>
  <c r="J333" i="6"/>
  <c r="J336" i="6"/>
  <c r="AR311" i="6"/>
  <c r="AR303" i="6"/>
  <c r="AR295" i="6"/>
  <c r="AR287" i="6"/>
  <c r="AR310" i="6"/>
  <c r="AR302" i="6"/>
  <c r="AR294" i="6"/>
  <c r="AR286" i="6"/>
  <c r="AR307" i="6"/>
  <c r="AR291" i="6"/>
  <c r="AR283" i="6"/>
  <c r="AR298" i="6"/>
  <c r="AR313" i="6"/>
  <c r="AR297" i="6"/>
  <c r="AR312" i="6"/>
  <c r="AR304" i="6"/>
  <c r="AR288" i="6"/>
  <c r="AR309" i="6"/>
  <c r="AR301" i="6"/>
  <c r="AR293" i="6"/>
  <c r="AR285" i="6"/>
  <c r="AR308" i="6"/>
  <c r="AR300" i="6"/>
  <c r="AR292" i="6"/>
  <c r="AR284" i="6"/>
  <c r="AR299" i="6"/>
  <c r="AR306" i="6"/>
  <c r="AR290" i="6"/>
  <c r="AR305" i="6"/>
  <c r="AR289" i="6"/>
  <c r="AR296" i="6"/>
  <c r="BJ42" i="3"/>
  <c r="BS41" i="3"/>
  <c r="BS4" i="3"/>
  <c r="BS47" i="3"/>
  <c r="BJ51" i="3"/>
  <c r="BJ43" i="3"/>
  <c r="CA43" i="3" s="1"/>
  <c r="BJ48" i="3"/>
  <c r="BS48" i="3"/>
  <c r="BS43" i="3"/>
  <c r="BJ4" i="3"/>
  <c r="BJ47" i="3"/>
  <c r="BS50" i="3"/>
  <c r="BJ50" i="3"/>
  <c r="BJ49" i="3"/>
  <c r="BS49" i="3"/>
  <c r="BS52" i="3"/>
  <c r="BJ52" i="3"/>
  <c r="BJ44" i="3"/>
  <c r="BS44" i="3"/>
  <c r="BS51" i="3"/>
  <c r="BS46" i="3"/>
  <c r="BJ46" i="3"/>
  <c r="BJ45" i="3"/>
  <c r="BS45" i="3"/>
  <c r="R311" i="6"/>
  <c r="R323" i="6"/>
  <c r="R312" i="6"/>
  <c r="R319" i="6"/>
  <c r="R313" i="6"/>
  <c r="R328" i="6"/>
  <c r="R325" i="6"/>
  <c r="R315" i="6"/>
  <c r="R310" i="6"/>
  <c r="R309" i="6"/>
  <c r="R322" i="6"/>
  <c r="R326" i="6"/>
  <c r="R316" i="6"/>
  <c r="R317" i="6"/>
  <c r="R327" i="6"/>
  <c r="R320" i="6"/>
  <c r="R314" i="6"/>
  <c r="R324" i="6"/>
  <c r="R318" i="6"/>
  <c r="R321" i="6"/>
  <c r="BS53" i="3"/>
  <c r="AK302" i="6"/>
  <c r="AK307" i="6"/>
  <c r="AK311" i="6"/>
  <c r="AK292" i="6"/>
  <c r="AK305" i="6"/>
  <c r="AK304" i="6"/>
  <c r="AK285" i="6"/>
  <c r="AK291" i="6"/>
  <c r="AK301" i="6"/>
  <c r="AK287" i="6"/>
  <c r="AK309" i="6"/>
  <c r="AK283" i="6"/>
  <c r="AK303" i="6"/>
  <c r="AK286" i="6"/>
  <c r="AK288" i="6"/>
  <c r="AK284" i="6"/>
  <c r="AK294" i="6"/>
  <c r="AK295" i="6"/>
  <c r="AK300" i="6"/>
  <c r="AK298" i="6"/>
  <c r="AK297" i="6"/>
  <c r="AK299" i="6"/>
  <c r="AK290" i="6"/>
  <c r="AK312" i="6"/>
  <c r="AK313" i="6"/>
  <c r="AK310" i="6"/>
  <c r="AK289" i="6"/>
  <c r="AK293" i="6"/>
  <c r="AK296" i="6"/>
  <c r="AK308" i="6"/>
  <c r="AK306" i="6"/>
  <c r="BJ53" i="3"/>
  <c r="N329" i="6"/>
  <c r="N331" i="6"/>
  <c r="N337" i="6"/>
  <c r="N333" i="6"/>
  <c r="N338" i="6"/>
  <c r="N330" i="6"/>
  <c r="N336" i="6"/>
  <c r="N332" i="6"/>
  <c r="N335" i="6"/>
  <c r="N334" i="6"/>
  <c r="R365" i="6"/>
  <c r="R366" i="6"/>
  <c r="R359" i="6"/>
  <c r="R363" i="6"/>
  <c r="R367" i="6"/>
  <c r="R368" i="6"/>
  <c r="R364" i="6"/>
  <c r="R369" i="6"/>
  <c r="R360" i="6"/>
  <c r="R362" i="6"/>
  <c r="R361" i="6"/>
  <c r="V358" i="6"/>
  <c r="V351" i="6"/>
  <c r="V356" i="6"/>
  <c r="V354" i="6"/>
  <c r="V339" i="6"/>
  <c r="V342" i="6"/>
  <c r="V357" i="6"/>
  <c r="V353" i="6"/>
  <c r="V345" i="6"/>
  <c r="V340" i="6"/>
  <c r="V348" i="6"/>
  <c r="V344" i="6"/>
  <c r="V355" i="6"/>
  <c r="V343" i="6"/>
  <c r="V350" i="6"/>
  <c r="V346" i="6"/>
  <c r="V352" i="6"/>
  <c r="V347" i="6"/>
  <c r="V341" i="6"/>
  <c r="V349" i="6"/>
  <c r="F331" i="6"/>
  <c r="F338" i="6"/>
  <c r="F335" i="6"/>
  <c r="F337" i="6"/>
  <c r="F334" i="6"/>
  <c r="F332" i="6"/>
  <c r="F333" i="6"/>
  <c r="F336" i="6"/>
  <c r="F329" i="6"/>
  <c r="F330" i="6"/>
  <c r="AC339" i="6"/>
  <c r="AC332" i="6"/>
  <c r="AC334" i="6"/>
  <c r="AC330" i="6"/>
  <c r="AC333" i="6"/>
  <c r="AC337" i="6"/>
  <c r="AC331" i="6"/>
  <c r="AC335" i="6"/>
  <c r="AC338" i="6"/>
  <c r="AC336" i="6"/>
  <c r="F328" i="6"/>
  <c r="F325" i="6"/>
  <c r="F313" i="6"/>
  <c r="F310" i="6"/>
  <c r="F315" i="6"/>
  <c r="F322" i="6"/>
  <c r="F309" i="6"/>
  <c r="F319" i="6"/>
  <c r="F327" i="6"/>
  <c r="F323" i="6"/>
  <c r="F312" i="6"/>
  <c r="F326" i="6"/>
  <c r="F311" i="6"/>
  <c r="F317" i="6"/>
  <c r="F320" i="6"/>
  <c r="F321" i="6"/>
  <c r="F324" i="6"/>
  <c r="F316" i="6"/>
  <c r="F318" i="6"/>
  <c r="F314" i="6"/>
  <c r="J358" i="6"/>
  <c r="J348" i="6"/>
  <c r="J347" i="6"/>
  <c r="J344" i="6"/>
  <c r="J352" i="6"/>
  <c r="J349" i="6"/>
  <c r="J346" i="6"/>
  <c r="J345" i="6"/>
  <c r="J357" i="6"/>
  <c r="J355" i="6"/>
  <c r="J340" i="6"/>
  <c r="J353" i="6"/>
  <c r="J343" i="6"/>
  <c r="J339" i="6"/>
  <c r="J354" i="6"/>
  <c r="J356" i="6"/>
  <c r="J342" i="6"/>
  <c r="J341" i="6"/>
  <c r="J351" i="6"/>
  <c r="J350" i="6"/>
  <c r="AM357" i="6"/>
  <c r="AM345" i="6"/>
  <c r="AM348" i="6"/>
  <c r="N358" i="6"/>
  <c r="N347" i="6"/>
  <c r="N344" i="6"/>
  <c r="N352" i="6"/>
  <c r="N357" i="6"/>
  <c r="N349" i="6"/>
  <c r="N348" i="6"/>
  <c r="N339" i="6"/>
  <c r="N345" i="6"/>
  <c r="N340" i="6"/>
  <c r="N356" i="6"/>
  <c r="N355" i="6"/>
  <c r="N343" i="6"/>
  <c r="N350" i="6"/>
  <c r="N342" i="6"/>
  <c r="N341" i="6"/>
  <c r="N354" i="6"/>
  <c r="N353" i="6"/>
  <c r="N346" i="6"/>
  <c r="N351" i="6"/>
  <c r="AC318" i="6"/>
  <c r="AC310" i="6"/>
  <c r="AC325" i="6"/>
  <c r="AC321" i="6"/>
  <c r="AC320" i="6"/>
  <c r="AC313" i="6"/>
  <c r="AC322" i="6"/>
  <c r="AC329" i="6"/>
  <c r="AC323" i="6"/>
  <c r="AC327" i="6"/>
  <c r="AC324" i="6"/>
  <c r="AC317" i="6"/>
  <c r="AC315" i="6"/>
  <c r="AC319" i="6"/>
  <c r="AC326" i="6"/>
  <c r="AC316" i="6"/>
  <c r="AC328" i="6"/>
  <c r="AC312" i="6"/>
  <c r="AC311" i="6"/>
  <c r="AC314" i="6"/>
  <c r="BY40" i="3" l="1"/>
  <c r="AM354" i="6"/>
  <c r="AM366" i="6"/>
  <c r="AM362" i="6"/>
  <c r="AM349" i="6"/>
  <c r="AM356" i="6"/>
  <c r="AM353" i="6"/>
  <c r="AM367" i="6"/>
  <c r="AM365" i="6"/>
  <c r="AM350" i="6"/>
  <c r="AM364" i="6"/>
  <c r="AM359" i="6"/>
  <c r="AM369" i="6"/>
  <c r="AM363" i="6"/>
  <c r="AM347" i="6"/>
  <c r="AM360" i="6"/>
  <c r="AM346" i="6"/>
  <c r="AM361" i="6"/>
  <c r="AM344" i="6"/>
  <c r="AM368" i="6"/>
  <c r="AM358" i="6"/>
  <c r="AM352" i="6"/>
  <c r="AM351" i="6"/>
  <c r="CB40" i="3"/>
  <c r="BY5" i="3"/>
  <c r="BV5" i="3"/>
  <c r="BX5" i="3"/>
  <c r="BZ5" i="3"/>
  <c r="CB5" i="3"/>
  <c r="BE62" i="3"/>
  <c r="BX40" i="3"/>
  <c r="BV40" i="3"/>
  <c r="BD62" i="3"/>
  <c r="BH62" i="3"/>
  <c r="CA14" i="3"/>
  <c r="CB38" i="3"/>
  <c r="BY17" i="3"/>
  <c r="BV17" i="3"/>
  <c r="BZ16" i="3"/>
  <c r="BZ34" i="3"/>
  <c r="CA11" i="3"/>
  <c r="BY10" i="3"/>
  <c r="BV14" i="3"/>
  <c r="CB37" i="3"/>
  <c r="BX37" i="3"/>
  <c r="BZ11" i="3"/>
  <c r="CB10" i="3"/>
  <c r="BZ37" i="3"/>
  <c r="BV37" i="3"/>
  <c r="BV11" i="3"/>
  <c r="CB11" i="3"/>
  <c r="BX10" i="3"/>
  <c r="BV10" i="3"/>
  <c r="BY37" i="3"/>
  <c r="BY11" i="3"/>
  <c r="BZ10" i="3"/>
  <c r="BV38" i="3"/>
  <c r="BZ38" i="3"/>
  <c r="CA16" i="3"/>
  <c r="BX16" i="3"/>
  <c r="CB17" i="3"/>
  <c r="BX38" i="3"/>
  <c r="CB16" i="3"/>
  <c r="CA17" i="3"/>
  <c r="BY41" i="3"/>
  <c r="BX34" i="3"/>
  <c r="BY38" i="3"/>
  <c r="BV16" i="3"/>
  <c r="BZ17" i="3"/>
  <c r="BV34" i="3"/>
  <c r="BZ14" i="3"/>
  <c r="CB14" i="3"/>
  <c r="BY34" i="3"/>
  <c r="CA34" i="3"/>
  <c r="BY14" i="3"/>
  <c r="CB18" i="3"/>
  <c r="BX18" i="3"/>
  <c r="CA18" i="3"/>
  <c r="BZ18" i="3"/>
  <c r="BY18" i="3"/>
  <c r="BV18" i="3"/>
  <c r="BX25" i="3"/>
  <c r="BY25" i="3"/>
  <c r="BZ25" i="3"/>
  <c r="CA25" i="3"/>
  <c r="CB25" i="3"/>
  <c r="BV25" i="3"/>
  <c r="BZ33" i="3"/>
  <c r="BV33" i="3"/>
  <c r="CA33" i="3"/>
  <c r="BY33" i="3"/>
  <c r="BX33" i="3"/>
  <c r="CB33" i="3"/>
  <c r="CB7" i="3"/>
  <c r="BY7" i="3"/>
  <c r="BV7" i="3"/>
  <c r="CA7" i="3"/>
  <c r="BZ7" i="3"/>
  <c r="BX7" i="3"/>
  <c r="BZ13" i="3"/>
  <c r="BV13" i="3"/>
  <c r="BX13" i="3"/>
  <c r="CA13" i="3"/>
  <c r="CB13" i="3"/>
  <c r="BY13" i="3"/>
  <c r="CA24" i="3"/>
  <c r="BZ24" i="3"/>
  <c r="CB24" i="3"/>
  <c r="BY24" i="3"/>
  <c r="BV24" i="3"/>
  <c r="BX24" i="3"/>
  <c r="CA32" i="3"/>
  <c r="BV32" i="3"/>
  <c r="CB32" i="3"/>
  <c r="BY32" i="3"/>
  <c r="BZ32" i="3"/>
  <c r="BX32" i="3"/>
  <c r="BV41" i="3"/>
  <c r="BZ39" i="3"/>
  <c r="BV39" i="3"/>
  <c r="CA39" i="3"/>
  <c r="CB39" i="3"/>
  <c r="BX39" i="3"/>
  <c r="BY39" i="3"/>
  <c r="BZ26" i="3"/>
  <c r="BV26" i="3"/>
  <c r="CB26" i="3"/>
  <c r="BX26" i="3"/>
  <c r="CA26" i="3"/>
  <c r="BY26" i="3"/>
  <c r="BZ23" i="3"/>
  <c r="BV23" i="3"/>
  <c r="CA23" i="3"/>
  <c r="CB23" i="3"/>
  <c r="BX23" i="3"/>
  <c r="BY23" i="3"/>
  <c r="CA35" i="3"/>
  <c r="BZ35" i="3"/>
  <c r="CB35" i="3"/>
  <c r="BY35" i="3"/>
  <c r="BV35" i="3"/>
  <c r="BX35" i="3"/>
  <c r="CA27" i="3"/>
  <c r="BX27" i="3"/>
  <c r="CB27" i="3"/>
  <c r="BY27" i="3"/>
  <c r="BZ27" i="3"/>
  <c r="BV27" i="3"/>
  <c r="CB21" i="3"/>
  <c r="BX21" i="3"/>
  <c r="BV21" i="3"/>
  <c r="CA21" i="3"/>
  <c r="BZ21" i="3"/>
  <c r="BY21" i="3"/>
  <c r="CA41" i="3"/>
  <c r="CA28" i="3"/>
  <c r="BV28" i="3"/>
  <c r="BX28" i="3"/>
  <c r="CB28" i="3"/>
  <c r="BY28" i="3"/>
  <c r="BZ28" i="3"/>
  <c r="CB30" i="3"/>
  <c r="BY30" i="3"/>
  <c r="BZ30" i="3"/>
  <c r="BV30" i="3"/>
  <c r="BX30" i="3"/>
  <c r="CA30" i="3"/>
  <c r="BY20" i="3"/>
  <c r="BX20" i="3"/>
  <c r="CB20" i="3"/>
  <c r="BZ20" i="3"/>
  <c r="BV20" i="3"/>
  <c r="CA20" i="3"/>
  <c r="CA19" i="3"/>
  <c r="BZ19" i="3"/>
  <c r="CB19" i="3"/>
  <c r="BY19" i="3"/>
  <c r="BX19" i="3"/>
  <c r="BV19" i="3"/>
  <c r="BZ29" i="3"/>
  <c r="BV29" i="3"/>
  <c r="CB29" i="3"/>
  <c r="BX29" i="3"/>
  <c r="CA29" i="3"/>
  <c r="BY29" i="3"/>
  <c r="CA31" i="3"/>
  <c r="BZ31" i="3"/>
  <c r="CB31" i="3"/>
  <c r="BY31" i="3"/>
  <c r="BV31" i="3"/>
  <c r="BX31" i="3"/>
  <c r="BZ8" i="3"/>
  <c r="BV8" i="3"/>
  <c r="BY8" i="3"/>
  <c r="BX8" i="3"/>
  <c r="CA8" i="3"/>
  <c r="CB8" i="3"/>
  <c r="BI62" i="3"/>
  <c r="BZ9" i="3"/>
  <c r="BV9" i="3"/>
  <c r="CA9" i="3"/>
  <c r="CB9" i="3"/>
  <c r="BX9" i="3"/>
  <c r="BY9" i="3"/>
  <c r="BX12" i="3"/>
  <c r="BZ12" i="3"/>
  <c r="CA12" i="3"/>
  <c r="CB12" i="3"/>
  <c r="BY12" i="3"/>
  <c r="BV12" i="3"/>
  <c r="BZ6" i="3"/>
  <c r="BV6" i="3"/>
  <c r="BY6" i="3"/>
  <c r="BX6" i="3"/>
  <c r="CA6" i="3"/>
  <c r="CB6" i="3"/>
  <c r="BY22" i="3"/>
  <c r="BX22" i="3"/>
  <c r="CA22" i="3"/>
  <c r="BV22" i="3"/>
  <c r="CB22" i="3"/>
  <c r="BZ22" i="3"/>
  <c r="BZ36" i="3"/>
  <c r="BV36" i="3"/>
  <c r="CA36" i="3"/>
  <c r="CB36" i="3"/>
  <c r="BX36" i="3"/>
  <c r="BY36" i="3"/>
  <c r="CA15" i="3"/>
  <c r="CB15" i="3"/>
  <c r="BZ15" i="3"/>
  <c r="BY15" i="3"/>
  <c r="BX15" i="3"/>
  <c r="BV15" i="3"/>
  <c r="CB41" i="3"/>
  <c r="BX41" i="3"/>
  <c r="BZ43" i="3"/>
  <c r="BX42" i="3"/>
  <c r="CA42" i="3"/>
  <c r="CB42" i="3"/>
  <c r="BY42" i="3"/>
  <c r="BZ42" i="3"/>
  <c r="BV42" i="3"/>
  <c r="AR339" i="6"/>
  <c r="AR331" i="6"/>
  <c r="AR323" i="6"/>
  <c r="AR315" i="6"/>
  <c r="AR336" i="6"/>
  <c r="AR328" i="6"/>
  <c r="AR320" i="6"/>
  <c r="AR327" i="6"/>
  <c r="AR340" i="6"/>
  <c r="AR324" i="6"/>
  <c r="AR316" i="6"/>
  <c r="AR341" i="6"/>
  <c r="AR325" i="6"/>
  <c r="AR338" i="6"/>
  <c r="AR322" i="6"/>
  <c r="AR337" i="6"/>
  <c r="AR329" i="6"/>
  <c r="AR321" i="6"/>
  <c r="AR342" i="6"/>
  <c r="AR334" i="6"/>
  <c r="AR326" i="6"/>
  <c r="AR318" i="6"/>
  <c r="AR343" i="6"/>
  <c r="AR335" i="6"/>
  <c r="AR319" i="6"/>
  <c r="AR332" i="6"/>
  <c r="AR333" i="6"/>
  <c r="AR317" i="6"/>
  <c r="AR330" i="6"/>
  <c r="AR314" i="6"/>
  <c r="J366" i="6"/>
  <c r="J363" i="6"/>
  <c r="J368" i="6"/>
  <c r="J369" i="6"/>
  <c r="J362" i="6"/>
  <c r="J359" i="6"/>
  <c r="J367" i="6"/>
  <c r="J360" i="6"/>
  <c r="J361" i="6"/>
  <c r="J365" i="6"/>
  <c r="J364" i="6"/>
  <c r="CB43" i="3"/>
  <c r="BX43" i="3"/>
  <c r="BV43" i="3"/>
  <c r="CB51" i="3"/>
  <c r="BX51" i="3"/>
  <c r="BY43" i="3"/>
  <c r="BZ51" i="3"/>
  <c r="BV51" i="3"/>
  <c r="CA51" i="3"/>
  <c r="BY51" i="3"/>
  <c r="BZ46" i="3"/>
  <c r="BV46" i="3"/>
  <c r="CA46" i="3"/>
  <c r="CB46" i="3"/>
  <c r="BX46" i="3"/>
  <c r="BY46" i="3"/>
  <c r="BZ44" i="3"/>
  <c r="BV44" i="3"/>
  <c r="CA44" i="3"/>
  <c r="CB44" i="3"/>
  <c r="BX44" i="3"/>
  <c r="BY44" i="3"/>
  <c r="CB50" i="3"/>
  <c r="BX50" i="3"/>
  <c r="BY50" i="3"/>
  <c r="BZ50" i="3"/>
  <c r="BV50" i="3"/>
  <c r="CA50" i="3"/>
  <c r="CA47" i="3"/>
  <c r="CB47" i="3"/>
  <c r="BX47" i="3"/>
  <c r="BY47" i="3"/>
  <c r="BZ47" i="3"/>
  <c r="BV47" i="3"/>
  <c r="BV48" i="3"/>
  <c r="CA48" i="3"/>
  <c r="CB48" i="3"/>
  <c r="BX48" i="3"/>
  <c r="BY48" i="3"/>
  <c r="BZ48" i="3"/>
  <c r="CB45" i="3"/>
  <c r="BX45" i="3"/>
  <c r="BZ45" i="3"/>
  <c r="BV45" i="3"/>
  <c r="CA45" i="3"/>
  <c r="BY45" i="3"/>
  <c r="BZ52" i="3"/>
  <c r="BV52" i="3"/>
  <c r="CA52" i="3"/>
  <c r="CB52" i="3"/>
  <c r="BX52" i="3"/>
  <c r="BY52" i="3"/>
  <c r="BX49" i="3"/>
  <c r="BY49" i="3"/>
  <c r="BZ49" i="3"/>
  <c r="BV49" i="3"/>
  <c r="CA49" i="3"/>
  <c r="CB49" i="3"/>
  <c r="CB4" i="3"/>
  <c r="BX4" i="3"/>
  <c r="BY4" i="3"/>
  <c r="BZ4" i="3"/>
  <c r="BV4" i="3"/>
  <c r="CA4" i="3"/>
  <c r="R355" i="6"/>
  <c r="R354" i="6"/>
  <c r="R358" i="6"/>
  <c r="R348" i="6"/>
  <c r="R339" i="6"/>
  <c r="R342" i="6"/>
  <c r="R351" i="6"/>
  <c r="R341" i="6"/>
  <c r="R346" i="6"/>
  <c r="R353" i="6"/>
  <c r="R343" i="6"/>
  <c r="R347" i="6"/>
  <c r="R352" i="6"/>
  <c r="R349" i="6"/>
  <c r="R356" i="6"/>
  <c r="R344" i="6"/>
  <c r="R350" i="6"/>
  <c r="R357" i="6"/>
  <c r="R345" i="6"/>
  <c r="R340" i="6"/>
  <c r="AK337" i="6"/>
  <c r="AK330" i="6"/>
  <c r="AK319" i="6"/>
  <c r="AK333" i="6"/>
  <c r="AK314" i="6"/>
  <c r="AK339" i="6"/>
  <c r="AK336" i="6"/>
  <c r="AK317" i="6"/>
  <c r="AK341" i="6"/>
  <c r="AK331" i="6"/>
  <c r="AK318" i="6"/>
  <c r="AK323" i="6"/>
  <c r="AK316" i="6"/>
  <c r="AK320" i="6"/>
  <c r="AK328" i="6"/>
  <c r="AK321" i="6"/>
  <c r="AK322" i="6"/>
  <c r="AK315" i="6"/>
  <c r="AK327" i="6"/>
  <c r="AK329" i="6"/>
  <c r="AK343" i="6"/>
  <c r="AK342" i="6"/>
  <c r="AK340" i="6"/>
  <c r="AK325" i="6"/>
  <c r="AK326" i="6"/>
  <c r="AK338" i="6"/>
  <c r="AK324" i="6"/>
  <c r="AK335" i="6"/>
  <c r="AK334" i="6"/>
  <c r="AK332" i="6"/>
  <c r="BZ53" i="3"/>
  <c r="CA53" i="3"/>
  <c r="BV53" i="3"/>
  <c r="BX53" i="3"/>
  <c r="CB53" i="3"/>
  <c r="BY53" i="3"/>
  <c r="AC365" i="6"/>
  <c r="AC360" i="6"/>
  <c r="AC362" i="6"/>
  <c r="AC366" i="6"/>
  <c r="AC361" i="6"/>
  <c r="AC364" i="6"/>
  <c r="AC369" i="6"/>
  <c r="AC367" i="6"/>
  <c r="AC368" i="6"/>
  <c r="AC370" i="6"/>
  <c r="AC363" i="6"/>
  <c r="N360" i="6"/>
  <c r="N364" i="6"/>
  <c r="N365" i="6"/>
  <c r="N362" i="6"/>
  <c r="N363" i="6"/>
  <c r="N361" i="6"/>
  <c r="N359" i="6"/>
  <c r="N366" i="6"/>
  <c r="N368" i="6"/>
  <c r="N369" i="6"/>
  <c r="N367" i="6"/>
  <c r="AC350" i="6"/>
  <c r="AC357" i="6"/>
  <c r="AC343" i="6"/>
  <c r="AC341" i="6"/>
  <c r="AC352" i="6"/>
  <c r="AC342" i="6"/>
  <c r="AC355" i="6"/>
  <c r="AC340" i="6"/>
  <c r="AC345" i="6"/>
  <c r="AC354" i="6"/>
  <c r="AC347" i="6"/>
  <c r="AC353" i="6"/>
  <c r="AC351" i="6"/>
  <c r="AC359" i="6"/>
  <c r="AC348" i="6"/>
  <c r="AC358" i="6"/>
  <c r="AC349" i="6"/>
  <c r="AC344" i="6"/>
  <c r="AC356" i="6"/>
  <c r="AC346" i="6"/>
  <c r="F344" i="6"/>
  <c r="F356" i="6"/>
  <c r="F348" i="6"/>
  <c r="F357" i="6"/>
  <c r="F355" i="6"/>
  <c r="F345" i="6"/>
  <c r="F349" i="6"/>
  <c r="F343" i="6"/>
  <c r="F346" i="6"/>
  <c r="F353" i="6"/>
  <c r="F339" i="6"/>
  <c r="F352" i="6"/>
  <c r="F350" i="6"/>
  <c r="F358" i="6"/>
  <c r="F354" i="6"/>
  <c r="F340" i="6"/>
  <c r="F342" i="6"/>
  <c r="F351" i="6"/>
  <c r="F341" i="6"/>
  <c r="F347" i="6"/>
  <c r="F368" i="6"/>
  <c r="F367" i="6"/>
  <c r="F366" i="6"/>
  <c r="F364" i="6"/>
  <c r="F360" i="6"/>
  <c r="F369" i="6"/>
  <c r="F361" i="6"/>
  <c r="F362" i="6"/>
  <c r="F359" i="6"/>
  <c r="F363" i="6"/>
  <c r="F365" i="6"/>
  <c r="AR365" i="6" l="1"/>
  <c r="AR357" i="6"/>
  <c r="AR349" i="6"/>
  <c r="AR366" i="6"/>
  <c r="AR358" i="6"/>
  <c r="AR350" i="6"/>
  <c r="AR361" i="6"/>
  <c r="AR345" i="6"/>
  <c r="AR354" i="6"/>
  <c r="AR359" i="6"/>
  <c r="AR368" i="6"/>
  <c r="AR344" i="6"/>
  <c r="AR363" i="6"/>
  <c r="AR355" i="6"/>
  <c r="AR347" i="6"/>
  <c r="AR364" i="6"/>
  <c r="AR356" i="6"/>
  <c r="AR348" i="6"/>
  <c r="AR369" i="6"/>
  <c r="AR353" i="6"/>
  <c r="AR362" i="6"/>
  <c r="AR346" i="6"/>
  <c r="AR367" i="6"/>
  <c r="AR351" i="6"/>
  <c r="AR360" i="6"/>
  <c r="AR352" i="6"/>
  <c r="AK345" i="6"/>
  <c r="AK353" i="6"/>
  <c r="AK348" i="6"/>
  <c r="AK350" i="6"/>
  <c r="AK354" i="6"/>
  <c r="AK366" i="6"/>
  <c r="AK355" i="6"/>
  <c r="AK360" i="6"/>
  <c r="AK356" i="6"/>
  <c r="AK357" i="6"/>
  <c r="AK347" i="6"/>
  <c r="AK358" i="6"/>
  <c r="AK349" i="6"/>
  <c r="AK364" i="6"/>
  <c r="AK367" i="6"/>
  <c r="AK365" i="6"/>
  <c r="AK346" i="6"/>
  <c r="AK363" i="6"/>
  <c r="AK359" i="6"/>
  <c r="AK362" i="6"/>
  <c r="AK344" i="6"/>
  <c r="AK368" i="6"/>
  <c r="AK351" i="6"/>
  <c r="AK361" i="6"/>
  <c r="AK369" i="6"/>
  <c r="AK352" i="6"/>
  <c r="AS62" i="3" l="1"/>
  <c r="AR62" i="3"/>
  <c r="AX62" i="3"/>
  <c r="AW62" i="3"/>
  <c r="AQ62" i="3"/>
  <c r="AP62" i="3"/>
  <c r="AV62" i="3"/>
  <c r="AT62" i="3" l="1"/>
  <c r="AU62" i="3"/>
  <c r="AY62" i="3"/>
  <c r="DH62" i="3"/>
  <c r="DG62" i="3" s="1"/>
  <c r="BV62" i="3"/>
  <c r="CA62" i="3" l="1"/>
  <c r="BJ62" i="3"/>
  <c r="E38" i="11" s="1"/>
  <c r="CB62" i="3"/>
  <c r="BS62" i="3"/>
  <c r="E34" i="11" s="1"/>
  <c r="BY62" i="3" l="1"/>
  <c r="BX62" i="3"/>
  <c r="BZ62" i="3"/>
  <c r="A53" i="3" l="1"/>
  <c r="A11" i="11" l="1"/>
  <c r="D70" i="11"/>
  <c r="C50" i="11"/>
  <c r="C54" i="11"/>
  <c r="C55" i="11"/>
  <c r="B61" i="11"/>
  <c r="C86" i="11"/>
  <c r="B62" i="11"/>
  <c r="C82" i="11"/>
  <c r="B95" i="11"/>
  <c r="A78" i="11"/>
  <c r="C49" i="11"/>
  <c r="C52" i="11"/>
  <c r="B94" i="11"/>
  <c r="B60" i="11"/>
  <c r="C89" i="11"/>
  <c r="C88" i="11"/>
  <c r="C51" i="11"/>
  <c r="C48" i="11"/>
  <c r="C85" i="11"/>
  <c r="C84" i="11"/>
  <c r="C87" i="11"/>
  <c r="C90" i="11"/>
  <c r="B96" i="11"/>
  <c r="A13" i="11"/>
  <c r="C83" i="11"/>
  <c r="C53" i="11"/>
  <c r="C17" i="11"/>
  <c r="A12" i="11"/>
  <c r="A44" i="11"/>
  <c r="C56" i="11"/>
  <c r="D97" i="11"/>
  <c r="D100" i="11" s="1"/>
  <c r="D104" i="11"/>
  <c r="D101" i="11"/>
  <c r="D63" i="11"/>
  <c r="D61" i="11" s="1"/>
  <c r="A61" i="11" s="1"/>
  <c r="D64" i="11"/>
  <c r="D69" i="11" s="1"/>
  <c r="A69" i="11" s="1"/>
  <c r="E102" i="11"/>
  <c r="D98" i="11"/>
  <c r="D103" i="11" s="1"/>
  <c r="A103" i="11" s="1"/>
  <c r="E106" i="11"/>
  <c r="E71" i="11"/>
  <c r="D67" i="11"/>
  <c r="E105" i="11"/>
  <c r="E72" i="11"/>
  <c r="E68" i="11"/>
  <c r="C17" i="4"/>
  <c r="H17" i="4" s="1"/>
  <c r="C23" i="4"/>
  <c r="A12" i="4"/>
  <c r="I12" i="4" s="1"/>
  <c r="B29" i="4"/>
  <c r="B31" i="4"/>
  <c r="C20" i="4"/>
  <c r="A13" i="4"/>
  <c r="I13" i="4" s="1"/>
  <c r="C19" i="4"/>
  <c r="B30" i="4"/>
  <c r="A11" i="4"/>
  <c r="C21" i="4"/>
  <c r="C22" i="4"/>
  <c r="C18" i="4"/>
  <c r="C24" i="4"/>
  <c r="C25" i="4"/>
  <c r="F26" i="4"/>
  <c r="D33" i="4"/>
  <c r="D38" i="4" s="1"/>
  <c r="A38" i="4" s="1"/>
  <c r="D39" i="4"/>
  <c r="A39" i="4" s="1"/>
  <c r="D32" i="4"/>
  <c r="D30" i="4" s="1"/>
  <c r="A30" i="4" s="1"/>
  <c r="D36" i="4"/>
  <c r="J36" i="4" s="1"/>
  <c r="F37" i="4"/>
  <c r="F41" i="4"/>
  <c r="F40" i="4"/>
  <c r="C124" i="11"/>
  <c r="B130" i="11"/>
  <c r="C117" i="11"/>
  <c r="B129" i="11"/>
  <c r="B128" i="11"/>
  <c r="C122" i="11"/>
  <c r="C123" i="11"/>
  <c r="C120" i="11"/>
  <c r="A112" i="11"/>
  <c r="C118" i="11"/>
  <c r="C116" i="11"/>
  <c r="C119" i="11"/>
  <c r="C121" i="11"/>
  <c r="D138" i="11"/>
  <c r="D131" i="11"/>
  <c r="D132" i="11"/>
  <c r="D135" i="11"/>
  <c r="E140" i="11"/>
  <c r="D134" i="11"/>
  <c r="E136" i="11"/>
  <c r="E139" i="11"/>
  <c r="B1454" i="11"/>
  <c r="B1182" i="11"/>
  <c r="B910" i="11"/>
  <c r="B638" i="11"/>
  <c r="B366" i="11"/>
  <c r="B1556" i="11"/>
  <c r="B1284" i="11"/>
  <c r="B1012" i="11"/>
  <c r="B740" i="11"/>
  <c r="B468" i="11"/>
  <c r="B196" i="11"/>
  <c r="E1533" i="11"/>
  <c r="E1261" i="11"/>
  <c r="E989" i="11"/>
  <c r="E717" i="11"/>
  <c r="E445" i="11"/>
  <c r="E173" i="11"/>
  <c r="E1432" i="11"/>
  <c r="E1160" i="11"/>
  <c r="E888" i="11"/>
  <c r="E616" i="11"/>
  <c r="E344" i="11"/>
  <c r="E1598" i="11"/>
  <c r="E1326" i="11"/>
  <c r="E1054" i="11"/>
  <c r="E782" i="11"/>
  <c r="E510" i="11"/>
  <c r="E238" i="11"/>
  <c r="D1498" i="11"/>
  <c r="D1226" i="11"/>
  <c r="D954" i="11"/>
  <c r="D682" i="11"/>
  <c r="D410" i="11"/>
  <c r="D1665" i="11"/>
  <c r="D1393" i="11"/>
  <c r="D1121" i="11"/>
  <c r="D849" i="11"/>
  <c r="D577" i="11"/>
  <c r="D305" i="11"/>
  <c r="D1664" i="11"/>
  <c r="D1392" i="11"/>
  <c r="D1120" i="11"/>
  <c r="D848" i="11"/>
  <c r="D1560" i="11"/>
  <c r="D1288" i="11"/>
  <c r="D1016" i="11"/>
  <c r="D744" i="11"/>
  <c r="D472" i="11"/>
  <c r="D200" i="11"/>
  <c r="D1423" i="11"/>
  <c r="D1421" i="11" s="1"/>
  <c r="D1151" i="11"/>
  <c r="D1149" i="11" s="1"/>
  <c r="D879" i="11"/>
  <c r="D877" i="11" s="1"/>
  <c r="D607" i="11"/>
  <c r="D610" i="11" s="1"/>
  <c r="D335" i="11"/>
  <c r="D338" i="11" s="1"/>
  <c r="B1558" i="11"/>
  <c r="B1286" i="11"/>
  <c r="B1014" i="11"/>
  <c r="B742" i="11"/>
  <c r="B470" i="11"/>
  <c r="B198" i="11"/>
  <c r="B1455" i="11"/>
  <c r="B1183" i="11"/>
  <c r="B911" i="11"/>
  <c r="B639" i="11"/>
  <c r="B367" i="11"/>
  <c r="C1653" i="11"/>
  <c r="C1381" i="11"/>
  <c r="C1109" i="11"/>
  <c r="C837" i="11"/>
  <c r="C565" i="11"/>
  <c r="C293" i="11"/>
  <c r="E1635" i="11"/>
  <c r="E1363" i="11"/>
  <c r="E1091" i="11"/>
  <c r="E819" i="11"/>
  <c r="E547" i="11"/>
  <c r="E275" i="11"/>
  <c r="E1534" i="11"/>
  <c r="E1262" i="11"/>
  <c r="E990" i="11"/>
  <c r="E718" i="11"/>
  <c r="E446" i="11"/>
  <c r="E174" i="11"/>
  <c r="E1428" i="11"/>
  <c r="E1156" i="11"/>
  <c r="E884" i="11"/>
  <c r="E612" i="11"/>
  <c r="E340" i="11"/>
  <c r="D1600" i="11"/>
  <c r="D1328" i="11"/>
  <c r="D1056" i="11"/>
  <c r="D784" i="11"/>
  <c r="D512" i="11"/>
  <c r="D240" i="11"/>
  <c r="D1495" i="11"/>
  <c r="D1223" i="11"/>
  <c r="D951" i="11"/>
  <c r="D679" i="11"/>
  <c r="D407" i="11"/>
  <c r="D1630" i="11"/>
  <c r="D1358" i="11"/>
  <c r="D1086" i="11"/>
  <c r="D1526" i="11"/>
  <c r="D1254" i="11"/>
  <c r="D982" i="11"/>
  <c r="D710" i="11"/>
  <c r="D438" i="11"/>
  <c r="D166" i="11"/>
  <c r="D1525" i="11"/>
  <c r="D1523" i="11" s="1"/>
  <c r="D1253" i="11"/>
  <c r="D1251" i="11" s="1"/>
  <c r="D981" i="11"/>
  <c r="D979" i="11" s="1"/>
  <c r="D709" i="11"/>
  <c r="D707" i="11" s="1"/>
  <c r="D437" i="11"/>
  <c r="D440" i="11" s="1"/>
  <c r="D165" i="11"/>
  <c r="D168" i="11" s="1"/>
  <c r="B1524" i="11"/>
  <c r="B1252" i="11"/>
  <c r="B980" i="11"/>
  <c r="B708" i="11"/>
  <c r="B436" i="11"/>
  <c r="B164" i="11"/>
  <c r="B1421" i="11"/>
  <c r="B1149" i="11"/>
  <c r="B877" i="11"/>
  <c r="B605" i="11"/>
  <c r="B333" i="11"/>
  <c r="C1619" i="11"/>
  <c r="C1347" i="11"/>
  <c r="C1075" i="11"/>
  <c r="C803" i="11"/>
  <c r="C531" i="11"/>
  <c r="C259" i="11"/>
  <c r="C1518" i="11"/>
  <c r="C1246" i="11"/>
  <c r="C974" i="11"/>
  <c r="C702" i="11"/>
  <c r="C430" i="11"/>
  <c r="C158" i="11"/>
  <c r="C1516" i="11"/>
  <c r="C1244" i="11"/>
  <c r="C972" i="11"/>
  <c r="C700" i="11"/>
  <c r="C428" i="11"/>
  <c r="C156" i="11"/>
  <c r="C1515" i="11"/>
  <c r="C1243" i="11"/>
  <c r="C971" i="11"/>
  <c r="C699" i="11"/>
  <c r="C427" i="11"/>
  <c r="C155" i="11"/>
  <c r="C1514" i="11"/>
  <c r="C1242" i="11"/>
  <c r="C970" i="11"/>
  <c r="C698" i="11"/>
  <c r="C426" i="11"/>
  <c r="C154" i="11"/>
  <c r="C1513" i="11"/>
  <c r="C1241" i="11"/>
  <c r="B1250" i="11"/>
  <c r="B978" i="11"/>
  <c r="B706" i="11"/>
  <c r="B434" i="11"/>
  <c r="B162" i="11"/>
  <c r="B1488" i="11"/>
  <c r="B1216" i="11"/>
  <c r="B944" i="11"/>
  <c r="B672" i="11"/>
  <c r="B400" i="11"/>
  <c r="E1601" i="11"/>
  <c r="E1329" i="11"/>
  <c r="E1057" i="11"/>
  <c r="E785" i="11"/>
  <c r="E513" i="11"/>
  <c r="E241" i="11"/>
  <c r="E1500" i="11"/>
  <c r="E1228" i="11"/>
  <c r="E956" i="11"/>
  <c r="E684" i="11"/>
  <c r="E412" i="11"/>
  <c r="E1666" i="11"/>
  <c r="E1394" i="11"/>
  <c r="E1122" i="11"/>
  <c r="E850" i="11"/>
  <c r="E578" i="11"/>
  <c r="E306" i="11"/>
  <c r="D1566" i="11"/>
  <c r="D1294" i="11"/>
  <c r="D1022" i="11"/>
  <c r="D750" i="11"/>
  <c r="D478" i="11"/>
  <c r="D206" i="11"/>
  <c r="D1461" i="11"/>
  <c r="D1189" i="11"/>
  <c r="D917" i="11"/>
  <c r="D645" i="11"/>
  <c r="D373" i="11"/>
  <c r="D1596" i="11"/>
  <c r="D1324" i="11"/>
  <c r="D1052" i="11"/>
  <c r="D1492" i="11"/>
  <c r="D1220" i="11"/>
  <c r="D948" i="11"/>
  <c r="D676" i="11"/>
  <c r="D404" i="11"/>
  <c r="D1627" i="11"/>
  <c r="D1625" i="11" s="1"/>
  <c r="D1355" i="11"/>
  <c r="D1353" i="11" s="1"/>
  <c r="D1083" i="11"/>
  <c r="D1081" i="11" s="1"/>
  <c r="D811" i="11"/>
  <c r="D809" i="11" s="1"/>
  <c r="D539" i="11"/>
  <c r="D542" i="11" s="1"/>
  <c r="D267" i="11"/>
  <c r="D270" i="11" s="1"/>
  <c r="B1490" i="11"/>
  <c r="B1218" i="11"/>
  <c r="B946" i="11"/>
  <c r="B674" i="11"/>
  <c r="B402" i="11"/>
  <c r="B1659" i="11"/>
  <c r="B1387" i="11"/>
  <c r="B1115" i="11"/>
  <c r="B843" i="11"/>
  <c r="B571" i="11"/>
  <c r="B299" i="11"/>
  <c r="C1585" i="11"/>
  <c r="C1313" i="11"/>
  <c r="C1041" i="11"/>
  <c r="C769" i="11"/>
  <c r="C497" i="11"/>
  <c r="C225" i="11"/>
  <c r="E1431" i="11"/>
  <c r="E1159" i="11"/>
  <c r="E887" i="11"/>
  <c r="E615" i="11"/>
  <c r="E343" i="11"/>
  <c r="E1602" i="11"/>
  <c r="E1330" i="11"/>
  <c r="E1058" i="11"/>
  <c r="E786" i="11"/>
  <c r="E514" i="11"/>
  <c r="E242" i="11"/>
  <c r="E1496" i="11"/>
  <c r="E1224" i="11"/>
  <c r="E952" i="11"/>
  <c r="E680" i="11"/>
  <c r="E408" i="11"/>
  <c r="D1668" i="11"/>
  <c r="D1396" i="11"/>
  <c r="D1124" i="11"/>
  <c r="D852" i="11"/>
  <c r="D580" i="11"/>
  <c r="D308" i="11"/>
  <c r="D1563" i="11"/>
  <c r="D1291" i="11"/>
  <c r="D1019" i="11"/>
  <c r="D747" i="11"/>
  <c r="D475" i="11"/>
  <c r="D203" i="11"/>
  <c r="D1426" i="11"/>
  <c r="D1154" i="11"/>
  <c r="D882" i="11"/>
  <c r="D1594" i="11"/>
  <c r="D1322" i="11"/>
  <c r="D1050" i="11"/>
  <c r="D778" i="11"/>
  <c r="D506" i="11"/>
  <c r="D234" i="11"/>
  <c r="D1457" i="11"/>
  <c r="D1455" i="11" s="1"/>
  <c r="D1185" i="11"/>
  <c r="D1183" i="11" s="1"/>
  <c r="D913" i="11"/>
  <c r="D911" i="11" s="1"/>
  <c r="D641" i="11"/>
  <c r="D644" i="11" s="1"/>
  <c r="D369" i="11"/>
  <c r="B1592" i="11"/>
  <c r="B1320" i="11"/>
  <c r="B1048" i="11"/>
  <c r="B776" i="11"/>
  <c r="B504" i="11"/>
  <c r="B232" i="11"/>
  <c r="B1489" i="11"/>
  <c r="B1217" i="11"/>
  <c r="B945" i="11"/>
  <c r="B673" i="11"/>
  <c r="B401" i="11"/>
  <c r="C1551" i="11"/>
  <c r="C1279" i="11"/>
  <c r="C1007" i="11"/>
  <c r="C735" i="11"/>
  <c r="C463" i="11"/>
  <c r="C191" i="11"/>
  <c r="C1450" i="11"/>
  <c r="C1178" i="11"/>
  <c r="C906" i="11"/>
  <c r="C634" i="11"/>
  <c r="C362" i="11"/>
  <c r="C1584" i="11"/>
  <c r="C1312" i="11"/>
  <c r="C1040" i="11"/>
  <c r="C768" i="11"/>
  <c r="C496" i="11"/>
  <c r="C224" i="11"/>
  <c r="C1447" i="11"/>
  <c r="C1175" i="11"/>
  <c r="C903" i="11"/>
  <c r="C631" i="11"/>
  <c r="C359" i="11"/>
  <c r="C1582" i="11"/>
  <c r="C1310" i="11"/>
  <c r="C1038" i="11"/>
  <c r="C766" i="11"/>
  <c r="C494" i="11"/>
  <c r="C222" i="11"/>
  <c r="C1445" i="11"/>
  <c r="C1173" i="11"/>
  <c r="C901" i="11"/>
  <c r="C629" i="11"/>
  <c r="C357" i="11"/>
  <c r="C1580" i="11"/>
  <c r="C969" i="11"/>
  <c r="C425" i="11"/>
  <c r="C1648" i="11"/>
  <c r="C1240" i="11"/>
  <c r="C968" i="11"/>
  <c r="C696" i="11"/>
  <c r="C424" i="11"/>
  <c r="C152" i="11"/>
  <c r="C1511" i="11"/>
  <c r="C1239" i="11"/>
  <c r="C967" i="11"/>
  <c r="C695" i="11"/>
  <c r="C423" i="11"/>
  <c r="C151" i="11"/>
  <c r="C1510" i="11"/>
  <c r="C1238" i="11"/>
  <c r="C966" i="11"/>
  <c r="C694" i="11"/>
  <c r="B774" i="11"/>
  <c r="B502" i="11"/>
  <c r="B230" i="11"/>
  <c r="B1420" i="11"/>
  <c r="B1148" i="11"/>
  <c r="B876" i="11"/>
  <c r="B604" i="11"/>
  <c r="B332" i="11"/>
  <c r="E1669" i="11"/>
  <c r="E1397" i="11"/>
  <c r="E1125" i="11"/>
  <c r="E853" i="11"/>
  <c r="E581" i="11"/>
  <c r="E309" i="11"/>
  <c r="E1568" i="11"/>
  <c r="E1296" i="11"/>
  <c r="E1024" i="11"/>
  <c r="E752" i="11"/>
  <c r="E480" i="11"/>
  <c r="E208" i="11"/>
  <c r="E1462" i="11"/>
  <c r="E1190" i="11"/>
  <c r="E918" i="11"/>
  <c r="E646" i="11"/>
  <c r="E374" i="11"/>
  <c r="D1634" i="11"/>
  <c r="D1362" i="11"/>
  <c r="D1090" i="11"/>
  <c r="D818" i="11"/>
  <c r="D546" i="11"/>
  <c r="D274" i="11"/>
  <c r="D1529" i="11"/>
  <c r="D1257" i="11"/>
  <c r="D985" i="11"/>
  <c r="D713" i="11"/>
  <c r="D441" i="11"/>
  <c r="D169" i="11"/>
  <c r="D1528" i="11"/>
  <c r="D1256" i="11"/>
  <c r="D984" i="11"/>
  <c r="D712" i="11"/>
  <c r="D1424" i="11"/>
  <c r="D1152" i="11"/>
  <c r="D880" i="11"/>
  <c r="D608" i="11"/>
  <c r="D336" i="11"/>
  <c r="D1559" i="11"/>
  <c r="D1557" i="11" s="1"/>
  <c r="D1287" i="11"/>
  <c r="D1285" i="11" s="1"/>
  <c r="D1015" i="11"/>
  <c r="D1013" i="11" s="1"/>
  <c r="D743" i="11"/>
  <c r="D741" i="11" s="1"/>
  <c r="D471" i="11"/>
  <c r="D199" i="11"/>
  <c r="D202" i="11" s="1"/>
  <c r="B1422" i="11"/>
  <c r="B1150" i="11"/>
  <c r="B878" i="11"/>
  <c r="B606" i="11"/>
  <c r="B334" i="11"/>
  <c r="B1591" i="11"/>
  <c r="B1319" i="11"/>
  <c r="B1047" i="11"/>
  <c r="B775" i="11"/>
  <c r="B503" i="11"/>
  <c r="B231" i="11"/>
  <c r="C1517" i="11"/>
  <c r="C1245" i="11"/>
  <c r="C973" i="11"/>
  <c r="C701" i="11"/>
  <c r="C429" i="11"/>
  <c r="C157" i="11"/>
  <c r="E1499" i="11"/>
  <c r="E1227" i="11"/>
  <c r="E955" i="11"/>
  <c r="E683" i="11"/>
  <c r="E411" i="11"/>
  <c r="E1670" i="11"/>
  <c r="E1398" i="11"/>
  <c r="E1126" i="11"/>
  <c r="E854" i="11"/>
  <c r="E582" i="11"/>
  <c r="E310" i="11"/>
  <c r="E1564" i="11"/>
  <c r="E1292" i="11"/>
  <c r="E1020" i="11"/>
  <c r="E748" i="11"/>
  <c r="E476" i="11"/>
  <c r="E204" i="11"/>
  <c r="D1464" i="11"/>
  <c r="D1192" i="11"/>
  <c r="D920" i="11"/>
  <c r="D648" i="11"/>
  <c r="D376" i="11"/>
  <c r="D1631" i="11"/>
  <c r="D1359" i="11"/>
  <c r="D1087" i="11"/>
  <c r="D815" i="11"/>
  <c r="D543" i="11"/>
  <c r="D271" i="11"/>
  <c r="D1494" i="11"/>
  <c r="D1222" i="11"/>
  <c r="D1662" i="11"/>
  <c r="D1390" i="11"/>
  <c r="D1118" i="11"/>
  <c r="D846" i="11"/>
  <c r="D574" i="11"/>
  <c r="D302" i="11"/>
  <c r="D1661" i="11"/>
  <c r="D1659" i="11" s="1"/>
  <c r="D1389" i="11"/>
  <c r="D1387" i="11" s="1"/>
  <c r="D1117" i="11"/>
  <c r="D1115" i="11" s="1"/>
  <c r="D845" i="11"/>
  <c r="D843" i="11" s="1"/>
  <c r="D573" i="11"/>
  <c r="D576" i="11" s="1"/>
  <c r="D301" i="11"/>
  <c r="D304" i="11" s="1"/>
  <c r="B1660" i="11"/>
  <c r="B1388" i="11"/>
  <c r="B1116" i="11"/>
  <c r="B844" i="11"/>
  <c r="B572" i="11"/>
  <c r="B300" i="11"/>
  <c r="B1557" i="11"/>
  <c r="B1285" i="11"/>
  <c r="B1013" i="11"/>
  <c r="B741" i="11"/>
  <c r="B469" i="11"/>
  <c r="B197" i="11"/>
  <c r="C1483" i="11"/>
  <c r="C1211" i="11"/>
  <c r="C939" i="11"/>
  <c r="C667" i="11"/>
  <c r="C395" i="11"/>
  <c r="C1654" i="11"/>
  <c r="C1382" i="11"/>
  <c r="C1110" i="11"/>
  <c r="C838" i="11"/>
  <c r="C566" i="11"/>
  <c r="C294" i="11"/>
  <c r="C1652" i="11"/>
  <c r="C1380" i="11"/>
  <c r="C1108" i="11"/>
  <c r="C836" i="11"/>
  <c r="C564" i="11"/>
  <c r="C292" i="11"/>
  <c r="C1651" i="11"/>
  <c r="C1379" i="11"/>
  <c r="C1107" i="11"/>
  <c r="C835" i="11"/>
  <c r="C563" i="11"/>
  <c r="C291" i="11"/>
  <c r="C1650" i="11"/>
  <c r="C1378" i="11"/>
  <c r="C1106" i="11"/>
  <c r="C834" i="11"/>
  <c r="C562" i="11"/>
  <c r="C290" i="11"/>
  <c r="C1649" i="11"/>
  <c r="C1377" i="11"/>
  <c r="C1105" i="11"/>
  <c r="B1114" i="11"/>
  <c r="B842" i="11"/>
  <c r="B570" i="11"/>
  <c r="B298" i="11"/>
  <c r="B1624" i="11"/>
  <c r="B1352" i="11"/>
  <c r="B1080" i="11"/>
  <c r="B808" i="11"/>
  <c r="B536" i="11"/>
  <c r="B264" i="11"/>
  <c r="E1465" i="11"/>
  <c r="E1193" i="11"/>
  <c r="E921" i="11"/>
  <c r="E649" i="11"/>
  <c r="E377" i="11"/>
  <c r="E1636" i="11"/>
  <c r="E1364" i="11"/>
  <c r="E1092" i="11"/>
  <c r="E820" i="11"/>
  <c r="E548" i="11"/>
  <c r="E276" i="11"/>
  <c r="E1530" i="11"/>
  <c r="E1258" i="11"/>
  <c r="E986" i="11"/>
  <c r="E714" i="11"/>
  <c r="E442" i="11"/>
  <c r="E170" i="11"/>
  <c r="D1430" i="11"/>
  <c r="D1158" i="11"/>
  <c r="D886" i="11"/>
  <c r="D614" i="11"/>
  <c r="D342" i="11"/>
  <c r="D1597" i="11"/>
  <c r="D1325" i="11"/>
  <c r="D1053" i="11"/>
  <c r="D781" i="11"/>
  <c r="D509" i="11"/>
  <c r="D237" i="11"/>
  <c r="D1460" i="11"/>
  <c r="D1188" i="11"/>
  <c r="D916" i="11"/>
  <c r="D372" i="11"/>
  <c r="D1628" i="11"/>
  <c r="D1356" i="11"/>
  <c r="D1084" i="11"/>
  <c r="D812" i="11"/>
  <c r="D540" i="11"/>
  <c r="D268" i="11"/>
  <c r="D1491" i="11"/>
  <c r="D1489" i="11" s="1"/>
  <c r="D1219" i="11"/>
  <c r="D1217" i="11" s="1"/>
  <c r="D947" i="11"/>
  <c r="D945" i="11" s="1"/>
  <c r="D675" i="11"/>
  <c r="D678" i="11" s="1"/>
  <c r="D403" i="11"/>
  <c r="D406" i="11" s="1"/>
  <c r="B1626" i="11"/>
  <c r="B1354" i="11"/>
  <c r="B1082" i="11"/>
  <c r="B810" i="11"/>
  <c r="B538" i="11"/>
  <c r="B266" i="11"/>
  <c r="B1523" i="11"/>
  <c r="B1251" i="11"/>
  <c r="B979" i="11"/>
  <c r="B707" i="11"/>
  <c r="B435" i="11"/>
  <c r="B163" i="11"/>
  <c r="C1449" i="11"/>
  <c r="C1177" i="11"/>
  <c r="C905" i="11"/>
  <c r="C633" i="11"/>
  <c r="C361" i="11"/>
  <c r="E1567" i="11"/>
  <c r="E1295" i="11"/>
  <c r="E1023" i="11"/>
  <c r="E751" i="11"/>
  <c r="E479" i="11"/>
  <c r="E207" i="11"/>
  <c r="E1466" i="11"/>
  <c r="E1194" i="11"/>
  <c r="E922" i="11"/>
  <c r="E650" i="11"/>
  <c r="E378" i="11"/>
  <c r="E1632" i="11"/>
  <c r="E1360" i="11"/>
  <c r="E1088" i="11"/>
  <c r="E816" i="11"/>
  <c r="E544" i="11"/>
  <c r="E272" i="11"/>
  <c r="D1532" i="11"/>
  <c r="D1260" i="11"/>
  <c r="D988" i="11"/>
  <c r="D716" i="11"/>
  <c r="D444" i="11"/>
  <c r="D172" i="11"/>
  <c r="D1427" i="11"/>
  <c r="D1155" i="11"/>
  <c r="D883" i="11"/>
  <c r="D611" i="11"/>
  <c r="D339" i="11"/>
  <c r="D1562" i="11"/>
  <c r="D1290" i="11"/>
  <c r="D1018" i="11"/>
  <c r="D474" i="11"/>
  <c r="D1458" i="11"/>
  <c r="D1186" i="11"/>
  <c r="D914" i="11"/>
  <c r="D642" i="11"/>
  <c r="D370" i="11"/>
  <c r="D1593" i="11"/>
  <c r="D1591" i="11" s="1"/>
  <c r="D1321" i="11"/>
  <c r="D1319" i="11" s="1"/>
  <c r="D1049" i="11"/>
  <c r="D1047" i="11" s="1"/>
  <c r="D777" i="11"/>
  <c r="D775" i="11" s="1"/>
  <c r="D505" i="11"/>
  <c r="D508" i="11" s="1"/>
  <c r="D233" i="11"/>
  <c r="D236" i="11" s="1"/>
  <c r="B1456" i="11"/>
  <c r="B1184" i="11"/>
  <c r="B912" i="11"/>
  <c r="B640" i="11"/>
  <c r="B368" i="11"/>
  <c r="B1625" i="11"/>
  <c r="B1353" i="11"/>
  <c r="B1081" i="11"/>
  <c r="B809" i="11"/>
  <c r="B537" i="11"/>
  <c r="B265" i="11"/>
  <c r="C1415" i="11"/>
  <c r="C1143" i="11"/>
  <c r="C871" i="11"/>
  <c r="C599" i="11"/>
  <c r="C327" i="11"/>
  <c r="C1586" i="11"/>
  <c r="C1314" i="11"/>
  <c r="C1042" i="11"/>
  <c r="C770" i="11"/>
  <c r="C498" i="11"/>
  <c r="C226" i="11"/>
  <c r="C1448" i="11"/>
  <c r="C1176" i="11"/>
  <c r="C904" i="11"/>
  <c r="C632" i="11"/>
  <c r="C360" i="11"/>
  <c r="C1583" i="11"/>
  <c r="C1311" i="11"/>
  <c r="C1039" i="11"/>
  <c r="C767" i="11"/>
  <c r="C495" i="11"/>
  <c r="C223" i="11"/>
  <c r="C1446" i="11"/>
  <c r="C1174" i="11"/>
  <c r="C902" i="11"/>
  <c r="C630" i="11"/>
  <c r="C358" i="11"/>
  <c r="C1581" i="11"/>
  <c r="C1309" i="11"/>
  <c r="C1037" i="11"/>
  <c r="C765" i="11"/>
  <c r="C493" i="11"/>
  <c r="C221" i="11"/>
  <c r="C1444" i="11"/>
  <c r="C697" i="11"/>
  <c r="C153" i="11"/>
  <c r="C1376" i="11"/>
  <c r="C1104" i="11"/>
  <c r="C832" i="11"/>
  <c r="C560" i="11"/>
  <c r="C288" i="11"/>
  <c r="C1647" i="11"/>
  <c r="C1375" i="11"/>
  <c r="C1103" i="11"/>
  <c r="C831" i="11"/>
  <c r="C559" i="11"/>
  <c r="C287" i="11"/>
  <c r="C1646" i="11"/>
  <c r="C1374" i="11"/>
  <c r="C1102" i="11"/>
  <c r="C830" i="11"/>
  <c r="C558" i="11"/>
  <c r="C286" i="11"/>
  <c r="A1540" i="11"/>
  <c r="A1268" i="11"/>
  <c r="A996" i="11"/>
  <c r="A724" i="11"/>
  <c r="A452" i="11"/>
  <c r="A180" i="11"/>
  <c r="C150" i="11"/>
  <c r="A1132" i="11"/>
  <c r="A588" i="11"/>
  <c r="C1552" i="11"/>
  <c r="C1280" i="11"/>
  <c r="C1008" i="11"/>
  <c r="C736" i="11"/>
  <c r="C464" i="11"/>
  <c r="C192" i="11"/>
  <c r="C1414" i="11"/>
  <c r="C1142" i="11"/>
  <c r="C870" i="11"/>
  <c r="C598" i="11"/>
  <c r="C326" i="11"/>
  <c r="C1549" i="11"/>
  <c r="C1277" i="11"/>
  <c r="C1005" i="11"/>
  <c r="C733" i="11"/>
  <c r="C461" i="11"/>
  <c r="C189" i="11"/>
  <c r="C1412" i="11"/>
  <c r="C1140" i="11"/>
  <c r="C868" i="11"/>
  <c r="C596" i="11"/>
  <c r="C324" i="11"/>
  <c r="C1547" i="11"/>
  <c r="C1275" i="11"/>
  <c r="C1003" i="11"/>
  <c r="C731" i="11"/>
  <c r="C459" i="11"/>
  <c r="C187" i="11"/>
  <c r="C1410" i="11"/>
  <c r="C1138" i="11"/>
  <c r="C866" i="11"/>
  <c r="C594" i="11"/>
  <c r="C322" i="11"/>
  <c r="C1545" i="11"/>
  <c r="C1273" i="11"/>
  <c r="C1001" i="11"/>
  <c r="C729" i="11"/>
  <c r="C457" i="11"/>
  <c r="C185" i="11"/>
  <c r="C1408" i="11"/>
  <c r="C1136" i="11"/>
  <c r="C864" i="11"/>
  <c r="C592" i="11"/>
  <c r="C320" i="11"/>
  <c r="A1574" i="11"/>
  <c r="A1302" i="11"/>
  <c r="A1030" i="11"/>
  <c r="A758" i="11"/>
  <c r="A486" i="11"/>
  <c r="A214" i="11"/>
  <c r="C561" i="11"/>
  <c r="C1512" i="11"/>
  <c r="C1172" i="11"/>
  <c r="C900" i="11"/>
  <c r="C628" i="11"/>
  <c r="C356" i="11"/>
  <c r="C1579" i="11"/>
  <c r="C1307" i="11"/>
  <c r="C1035" i="11"/>
  <c r="C763" i="11"/>
  <c r="C491" i="11"/>
  <c r="C219" i="11"/>
  <c r="C1442" i="11"/>
  <c r="C1170" i="11"/>
  <c r="C898" i="11"/>
  <c r="C626" i="11"/>
  <c r="C354" i="11"/>
  <c r="A1608" i="11"/>
  <c r="A1336" i="11"/>
  <c r="A1064" i="11"/>
  <c r="A792" i="11"/>
  <c r="A520" i="11"/>
  <c r="A248" i="11"/>
  <c r="C1484" i="11"/>
  <c r="C1212" i="11"/>
  <c r="C940" i="11"/>
  <c r="C668" i="11"/>
  <c r="C396" i="11"/>
  <c r="C1618" i="11"/>
  <c r="C1346" i="11"/>
  <c r="C1074" i="11"/>
  <c r="C802" i="11"/>
  <c r="C530" i="11"/>
  <c r="C258" i="11"/>
  <c r="C1481" i="11"/>
  <c r="C1209" i="11"/>
  <c r="C937" i="11"/>
  <c r="C665" i="11"/>
  <c r="C393" i="11"/>
  <c r="C1616" i="11"/>
  <c r="C1344" i="11"/>
  <c r="C1072" i="11"/>
  <c r="C800" i="11"/>
  <c r="C528" i="11"/>
  <c r="C256" i="11"/>
  <c r="C1479" i="11"/>
  <c r="C1207" i="11"/>
  <c r="C935" i="11"/>
  <c r="C663" i="11"/>
  <c r="C391" i="11"/>
  <c r="C1614" i="11"/>
  <c r="C1342" i="11"/>
  <c r="C1070" i="11"/>
  <c r="C798" i="11"/>
  <c r="C526" i="11"/>
  <c r="C254" i="11"/>
  <c r="C1477" i="11"/>
  <c r="C1205" i="11"/>
  <c r="C933" i="11"/>
  <c r="C661" i="11"/>
  <c r="C389" i="11"/>
  <c r="C1612" i="11"/>
  <c r="C1340" i="11"/>
  <c r="C1068" i="11"/>
  <c r="C796" i="11"/>
  <c r="C524" i="11"/>
  <c r="C252" i="11"/>
  <c r="A1506" i="11"/>
  <c r="A1234" i="11"/>
  <c r="A962" i="11"/>
  <c r="A690" i="11"/>
  <c r="A418" i="11"/>
  <c r="A146" i="11"/>
  <c r="B1658" i="11"/>
  <c r="C422" i="11"/>
  <c r="A1404" i="11"/>
  <c r="A860" i="11"/>
  <c r="A316" i="11"/>
  <c r="C1416" i="11"/>
  <c r="C1144" i="11"/>
  <c r="C872" i="11"/>
  <c r="C600" i="11"/>
  <c r="C328" i="11"/>
  <c r="C1550" i="11"/>
  <c r="C1278" i="11"/>
  <c r="C1006" i="11"/>
  <c r="C734" i="11"/>
  <c r="C462" i="11"/>
  <c r="C190" i="11"/>
  <c r="C1413" i="11"/>
  <c r="C1141" i="11"/>
  <c r="C869" i="11"/>
  <c r="C597" i="11"/>
  <c r="C325" i="11"/>
  <c r="C1548" i="11"/>
  <c r="C1276" i="11"/>
  <c r="C1004" i="11"/>
  <c r="C732" i="11"/>
  <c r="C460" i="11"/>
  <c r="C188" i="11"/>
  <c r="C1411" i="11"/>
  <c r="C1139" i="11"/>
  <c r="C867" i="11"/>
  <c r="C595" i="11"/>
  <c r="C323" i="11"/>
  <c r="C1546" i="11"/>
  <c r="C1274" i="11"/>
  <c r="C1002" i="11"/>
  <c r="C730" i="11"/>
  <c r="C458" i="11"/>
  <c r="C186" i="11"/>
  <c r="C1409" i="11"/>
  <c r="C1137" i="11"/>
  <c r="C865" i="11"/>
  <c r="C593" i="11"/>
  <c r="C321" i="11"/>
  <c r="C1544" i="11"/>
  <c r="C1272" i="11"/>
  <c r="C1000" i="11"/>
  <c r="C728" i="11"/>
  <c r="C456" i="11"/>
  <c r="C184" i="11"/>
  <c r="A1438" i="11"/>
  <c r="A1166" i="11"/>
  <c r="A894" i="11"/>
  <c r="A622" i="11"/>
  <c r="A350" i="11"/>
  <c r="C833" i="11"/>
  <c r="C289" i="11"/>
  <c r="C1308" i="11"/>
  <c r="C1036" i="11"/>
  <c r="C764" i="11"/>
  <c r="C492" i="11"/>
  <c r="C220" i="11"/>
  <c r="C1443" i="11"/>
  <c r="C1171" i="11"/>
  <c r="C899" i="11"/>
  <c r="C627" i="11"/>
  <c r="C355" i="11"/>
  <c r="C1578" i="11"/>
  <c r="C1306" i="11"/>
  <c r="C1034" i="11"/>
  <c r="C762" i="11"/>
  <c r="C490" i="11"/>
  <c r="C218" i="11"/>
  <c r="A1472" i="11"/>
  <c r="A1200" i="11"/>
  <c r="A928" i="11"/>
  <c r="A656" i="11"/>
  <c r="A384" i="11"/>
  <c r="C1620" i="11"/>
  <c r="C1348" i="11"/>
  <c r="C1076" i="11"/>
  <c r="C804" i="11"/>
  <c r="C532" i="11"/>
  <c r="C260" i="11"/>
  <c r="C1482" i="11"/>
  <c r="C1210" i="11"/>
  <c r="C938" i="11"/>
  <c r="C666" i="11"/>
  <c r="C394" i="11"/>
  <c r="C1617" i="11"/>
  <c r="C1345" i="11"/>
  <c r="C1073" i="11"/>
  <c r="C801" i="11"/>
  <c r="C529" i="11"/>
  <c r="C257" i="11"/>
  <c r="C1480" i="11"/>
  <c r="C1208" i="11"/>
  <c r="C936" i="11"/>
  <c r="C664" i="11"/>
  <c r="C392" i="11"/>
  <c r="C1615" i="11"/>
  <c r="C1343" i="11"/>
  <c r="C1071" i="11"/>
  <c r="C799" i="11"/>
  <c r="C527" i="11"/>
  <c r="C255" i="11"/>
  <c r="C1478" i="11"/>
  <c r="C1206" i="11"/>
  <c r="C934" i="11"/>
  <c r="C662" i="11"/>
  <c r="C390" i="11"/>
  <c r="C1613" i="11"/>
  <c r="C1341" i="11"/>
  <c r="C1069" i="11"/>
  <c r="C797" i="11"/>
  <c r="C525" i="11"/>
  <c r="C253" i="11"/>
  <c r="C1476" i="11"/>
  <c r="C1204" i="11"/>
  <c r="C932" i="11"/>
  <c r="C660" i="11"/>
  <c r="C388" i="11"/>
  <c r="A1642" i="11"/>
  <c r="A1370" i="11"/>
  <c r="A1098" i="11"/>
  <c r="A826" i="11"/>
  <c r="A554" i="11"/>
  <c r="A282" i="11"/>
  <c r="B1386" i="11"/>
  <c r="B1522" i="11"/>
  <c r="B1046" i="11"/>
  <c r="B1590" i="11"/>
  <c r="B1318" i="11"/>
  <c r="I9" i="4"/>
  <c r="D66" i="11" l="1"/>
  <c r="A104" i="11"/>
  <c r="A70" i="11"/>
  <c r="A98" i="11"/>
  <c r="D96" i="11"/>
  <c r="A96" i="11" s="1"/>
  <c r="A64" i="11"/>
  <c r="D62" i="11"/>
  <c r="A62" i="11" s="1"/>
  <c r="D95" i="11"/>
  <c r="A95" i="11" s="1"/>
  <c r="D35" i="4"/>
  <c r="D37" i="4" s="1"/>
  <c r="D950" i="11"/>
  <c r="J39" i="4"/>
  <c r="D31" i="4"/>
  <c r="A31" i="4" s="1"/>
  <c r="E40" i="4"/>
  <c r="A33" i="4"/>
  <c r="E37" i="4"/>
  <c r="D746" i="11"/>
  <c r="D780" i="11"/>
  <c r="D814" i="11"/>
  <c r="D137" i="11"/>
  <c r="A137" i="11" s="1"/>
  <c r="A138" i="11" s="1"/>
  <c r="A132" i="11"/>
  <c r="D130" i="11"/>
  <c r="A130" i="11" s="1"/>
  <c r="D129" i="11"/>
  <c r="A129" i="11" s="1"/>
  <c r="D503" i="11"/>
  <c r="A503" i="11" s="1"/>
  <c r="D647" i="11"/>
  <c r="A647" i="11" s="1"/>
  <c r="A648" i="11" s="1"/>
  <c r="A642" i="11"/>
  <c r="D640" i="11"/>
  <c r="A640" i="11" s="1"/>
  <c r="D1191" i="11"/>
  <c r="D1184" i="11"/>
  <c r="D673" i="11"/>
  <c r="A673" i="11" s="1"/>
  <c r="D273" i="11"/>
  <c r="A273" i="11" s="1"/>
  <c r="A274" i="11" s="1"/>
  <c r="A268" i="11"/>
  <c r="D266" i="11"/>
  <c r="A266" i="11" s="1"/>
  <c r="D817" i="11"/>
  <c r="D810" i="11"/>
  <c r="D1361" i="11"/>
  <c r="D1354" i="11"/>
  <c r="D571" i="11"/>
  <c r="A571" i="11" s="1"/>
  <c r="D579" i="11"/>
  <c r="A579" i="11" s="1"/>
  <c r="A580" i="11" s="1"/>
  <c r="A574" i="11"/>
  <c r="D572" i="11"/>
  <c r="A572" i="11" s="1"/>
  <c r="D1123" i="11"/>
  <c r="D1116" i="11"/>
  <c r="D1667" i="11"/>
  <c r="D1660" i="11"/>
  <c r="D469" i="11"/>
  <c r="A469" i="11" s="1"/>
  <c r="D613" i="11"/>
  <c r="A613" i="11" s="1"/>
  <c r="A614" i="11" s="1"/>
  <c r="A608" i="11"/>
  <c r="D606" i="11"/>
  <c r="A606" i="11" s="1"/>
  <c r="D1157" i="11"/>
  <c r="D1150" i="11"/>
  <c r="D367" i="11"/>
  <c r="A367" i="11" s="1"/>
  <c r="D511" i="11"/>
  <c r="A511" i="11" s="1"/>
  <c r="A512" i="11" s="1"/>
  <c r="A506" i="11"/>
  <c r="D504" i="11"/>
  <c r="A504" i="11" s="1"/>
  <c r="D1055" i="11"/>
  <c r="D1048" i="11"/>
  <c r="D1599" i="11"/>
  <c r="D1592" i="11"/>
  <c r="D537" i="11"/>
  <c r="A537" i="11" s="1"/>
  <c r="D681" i="11"/>
  <c r="A681" i="11" s="1"/>
  <c r="A682" i="11" s="1"/>
  <c r="A676" i="11"/>
  <c r="D674" i="11"/>
  <c r="A674" i="11" s="1"/>
  <c r="D1225" i="11"/>
  <c r="D1218" i="11"/>
  <c r="D435" i="11"/>
  <c r="A435" i="11" s="1"/>
  <c r="D443" i="11"/>
  <c r="A443" i="11" s="1"/>
  <c r="A444" i="11" s="1"/>
  <c r="A438" i="11"/>
  <c r="D436" i="11"/>
  <c r="A436" i="11" s="1"/>
  <c r="D987" i="11"/>
  <c r="D980" i="11"/>
  <c r="D1531" i="11"/>
  <c r="D1524" i="11"/>
  <c r="D333" i="11"/>
  <c r="A333" i="11" s="1"/>
  <c r="D477" i="11"/>
  <c r="A477" i="11" s="1"/>
  <c r="A478" i="11" s="1"/>
  <c r="A472" i="11"/>
  <c r="D470" i="11"/>
  <c r="A470" i="11" s="1"/>
  <c r="D1021" i="11"/>
  <c r="D1014" i="11"/>
  <c r="D1565" i="11"/>
  <c r="D1558" i="11"/>
  <c r="D231" i="11"/>
  <c r="A231" i="11" s="1"/>
  <c r="D375" i="11"/>
  <c r="A375" i="11" s="1"/>
  <c r="A376" i="11" s="1"/>
  <c r="A370" i="11"/>
  <c r="D368" i="11"/>
  <c r="A368" i="11" s="1"/>
  <c r="D919" i="11"/>
  <c r="D912" i="11"/>
  <c r="D1463" i="11"/>
  <c r="D1456" i="11"/>
  <c r="D401" i="11"/>
  <c r="A401" i="11" s="1"/>
  <c r="D545" i="11"/>
  <c r="A545" i="11" s="1"/>
  <c r="A546" i="11" s="1"/>
  <c r="A540" i="11"/>
  <c r="D538" i="11"/>
  <c r="A538" i="11" s="1"/>
  <c r="D1089" i="11"/>
  <c r="D1082" i="11"/>
  <c r="D1633" i="11"/>
  <c r="D1626" i="11"/>
  <c r="D299" i="11"/>
  <c r="A299" i="11" s="1"/>
  <c r="D307" i="11"/>
  <c r="A307" i="11" s="1"/>
  <c r="A308" i="11" s="1"/>
  <c r="A302" i="11"/>
  <c r="D300" i="11"/>
  <c r="A300" i="11" s="1"/>
  <c r="D851" i="11"/>
  <c r="D844" i="11"/>
  <c r="D1395" i="11"/>
  <c r="D1388" i="11"/>
  <c r="D197" i="11"/>
  <c r="A197" i="11" s="1"/>
  <c r="D341" i="11"/>
  <c r="A341" i="11" s="1"/>
  <c r="A342" i="11" s="1"/>
  <c r="A336" i="11"/>
  <c r="D334" i="11"/>
  <c r="A334" i="11" s="1"/>
  <c r="D885" i="11"/>
  <c r="D878" i="11"/>
  <c r="D1429" i="11"/>
  <c r="D1422" i="11"/>
  <c r="D639" i="11"/>
  <c r="A639" i="11" s="1"/>
  <c r="D239" i="11"/>
  <c r="A239" i="11" s="1"/>
  <c r="A240" i="11" s="1"/>
  <c r="A234" i="11"/>
  <c r="D232" i="11"/>
  <c r="A232" i="11" s="1"/>
  <c r="D783" i="11"/>
  <c r="D776" i="11"/>
  <c r="D1327" i="11"/>
  <c r="D1320" i="11"/>
  <c r="D265" i="11"/>
  <c r="A265" i="11" s="1"/>
  <c r="D409" i="11"/>
  <c r="A409" i="11" s="1"/>
  <c r="A410" i="11" s="1"/>
  <c r="A404" i="11"/>
  <c r="D402" i="11"/>
  <c r="A402" i="11" s="1"/>
  <c r="D953" i="11"/>
  <c r="D946" i="11"/>
  <c r="D1497" i="11"/>
  <c r="D1490" i="11"/>
  <c r="D163" i="11"/>
  <c r="A163" i="11" s="1"/>
  <c r="D171" i="11"/>
  <c r="A171" i="11" s="1"/>
  <c r="A172" i="11" s="1"/>
  <c r="A166" i="11"/>
  <c r="D164" i="11"/>
  <c r="A164" i="11" s="1"/>
  <c r="D715" i="11"/>
  <c r="D708" i="11"/>
  <c r="D1259" i="11"/>
  <c r="D1252" i="11"/>
  <c r="D605" i="11"/>
  <c r="A605" i="11" s="1"/>
  <c r="D205" i="11"/>
  <c r="A205" i="11" s="1"/>
  <c r="A206" i="11" s="1"/>
  <c r="A200" i="11"/>
  <c r="D198" i="11"/>
  <c r="A198" i="11" s="1"/>
  <c r="D749" i="11"/>
  <c r="D742" i="11"/>
  <c r="D1293" i="11"/>
  <c r="D1286" i="11"/>
  <c r="J1132" i="11"/>
  <c r="AP21" i="11"/>
  <c r="AO25" i="11"/>
  <c r="BB20" i="11"/>
  <c r="J1540" i="11"/>
  <c r="J1064" i="11"/>
  <c r="AU24" i="11"/>
  <c r="BE20" i="11"/>
  <c r="AO21" i="11"/>
  <c r="AN19" i="11"/>
  <c r="AW25" i="11"/>
  <c r="AQ25" i="11"/>
  <c r="AK19" i="11"/>
  <c r="BD25" i="11"/>
  <c r="AY20" i="11"/>
  <c r="AZ20" i="11"/>
  <c r="AW22" i="11"/>
  <c r="BD22" i="11"/>
  <c r="BB25" i="11"/>
  <c r="BD24" i="11"/>
  <c r="AL25" i="11"/>
  <c r="AO20" i="11"/>
  <c r="AL22" i="11"/>
  <c r="AM19" i="11"/>
  <c r="AO22" i="11"/>
  <c r="BB19" i="11"/>
  <c r="AT25" i="11"/>
  <c r="AL19" i="11"/>
  <c r="AS20" i="11"/>
  <c r="AN22" i="11"/>
  <c r="BH20" i="11"/>
  <c r="AK22" i="11"/>
  <c r="AQ24" i="11"/>
  <c r="BA20" i="11"/>
  <c r="AQ22" i="11"/>
  <c r="BH25" i="11"/>
  <c r="AV20" i="11"/>
  <c r="BE21" i="11"/>
  <c r="BC19" i="11"/>
  <c r="AN21" i="11"/>
  <c r="AW19" i="11"/>
  <c r="AK24" i="11"/>
  <c r="AQ19" i="11"/>
  <c r="J1200" i="11"/>
  <c r="AV25" i="11"/>
  <c r="AK21" i="11"/>
  <c r="BE22" i="11"/>
  <c r="AW21" i="11"/>
  <c r="BG19" i="11"/>
  <c r="AV19" i="11"/>
  <c r="BD19" i="11"/>
  <c r="BE24" i="11"/>
  <c r="AL24" i="11"/>
  <c r="BD21" i="11"/>
  <c r="BA25" i="11"/>
  <c r="J1336" i="11"/>
  <c r="BF20" i="11"/>
  <c r="BF25" i="11"/>
  <c r="J1404" i="11"/>
  <c r="AZ24" i="11"/>
  <c r="AY22" i="11"/>
  <c r="BG24" i="11"/>
  <c r="J1472" i="11"/>
  <c r="AP19" i="11"/>
  <c r="AU22" i="11"/>
  <c r="BF21" i="11"/>
  <c r="BG21" i="11"/>
  <c r="BB24" i="11"/>
  <c r="AO24" i="11"/>
  <c r="J962" i="11"/>
  <c r="AP22" i="11"/>
  <c r="BF19" i="11"/>
  <c r="AX25" i="11"/>
  <c r="BE19" i="11"/>
  <c r="BC22" i="11"/>
  <c r="AT22" i="11"/>
  <c r="J1506" i="11"/>
  <c r="AM22" i="11"/>
  <c r="BC21" i="11"/>
  <c r="J1302" i="11"/>
  <c r="AS24" i="11"/>
  <c r="J1642" i="11"/>
  <c r="BB22" i="11"/>
  <c r="AM25" i="11"/>
  <c r="AX22" i="11"/>
  <c r="J1030" i="11"/>
  <c r="AR20" i="11"/>
  <c r="AR25" i="11"/>
  <c r="AR21" i="11"/>
  <c r="BF24" i="11"/>
  <c r="AY24" i="11"/>
  <c r="BH21" i="11"/>
  <c r="AT21" i="11"/>
  <c r="AY19" i="11"/>
  <c r="AV21" i="11"/>
  <c r="J1098" i="11"/>
  <c r="J1438" i="11"/>
  <c r="AW24" i="11"/>
  <c r="AN25" i="11"/>
  <c r="AT24" i="11"/>
  <c r="AY21" i="11"/>
  <c r="AM21" i="11"/>
  <c r="AS22" i="11"/>
  <c r="BH19" i="11"/>
  <c r="BG22" i="11"/>
  <c r="AY25" i="11"/>
  <c r="AN20" i="11"/>
  <c r="J928" i="11"/>
  <c r="J1268" i="11"/>
  <c r="J1608" i="11"/>
  <c r="J894" i="11"/>
  <c r="AU20" i="11"/>
  <c r="AU25" i="11"/>
  <c r="AU21" i="11"/>
  <c r="AV22" i="11"/>
  <c r="AP24" i="11"/>
  <c r="AK25" i="11"/>
  <c r="AK20" i="11"/>
  <c r="AX24" i="11"/>
  <c r="AR19" i="11"/>
  <c r="AR22" i="11"/>
  <c r="AX21" i="11"/>
  <c r="BC20" i="11"/>
  <c r="AV24" i="11"/>
  <c r="J1574" i="11"/>
  <c r="AW20" i="11"/>
  <c r="BD20" i="11"/>
  <c r="AT20" i="11"/>
  <c r="AR24" i="11"/>
  <c r="BC25" i="11"/>
  <c r="AL20" i="11"/>
  <c r="BG20" i="11"/>
  <c r="BC24" i="11"/>
  <c r="AS21" i="11"/>
  <c r="BA21" i="11"/>
  <c r="AZ19" i="11"/>
  <c r="J996" i="11"/>
  <c r="AP20" i="11"/>
  <c r="BF22" i="11"/>
  <c r="J1370" i="11"/>
  <c r="J1166" i="11"/>
  <c r="J860" i="11"/>
  <c r="AQ21" i="11"/>
  <c r="AT19" i="11"/>
  <c r="BE25" i="11"/>
  <c r="AX19" i="11"/>
  <c r="AL21" i="11"/>
  <c r="AM20" i="11"/>
  <c r="BA24" i="11"/>
  <c r="AX20" i="11"/>
  <c r="AS19" i="11"/>
  <c r="BB21" i="11"/>
  <c r="AM24" i="11"/>
  <c r="BH24" i="11"/>
  <c r="AZ25" i="11"/>
  <c r="J1234" i="11"/>
  <c r="AP25" i="11"/>
  <c r="AS25" i="11"/>
  <c r="AZ21" i="11"/>
  <c r="BA22" i="11"/>
  <c r="AU19" i="11"/>
  <c r="AN24" i="11"/>
  <c r="BG25" i="11"/>
  <c r="AQ20" i="11"/>
  <c r="BA19" i="11"/>
  <c r="BH22" i="11"/>
  <c r="AZ22" i="11"/>
  <c r="AO19" i="11"/>
  <c r="I1476" i="11"/>
  <c r="I1000" i="11"/>
  <c r="I1442" i="11"/>
  <c r="I1408" i="11"/>
  <c r="I1272" i="11"/>
  <c r="I1068" i="11"/>
  <c r="I966" i="11"/>
  <c r="I932" i="11"/>
  <c r="I1578" i="11"/>
  <c r="I864" i="11"/>
  <c r="I1612" i="11"/>
  <c r="I1544" i="11"/>
  <c r="I1374" i="11"/>
  <c r="I1102" i="11"/>
  <c r="I1034" i="11"/>
  <c r="I1238" i="11"/>
  <c r="I1170" i="11"/>
  <c r="I1510" i="11"/>
  <c r="I898" i="11"/>
  <c r="I1136" i="11"/>
  <c r="I1340" i="11"/>
  <c r="I1306" i="11"/>
  <c r="I1646" i="11"/>
  <c r="I1204" i="11"/>
  <c r="M20" i="11"/>
  <c r="M25" i="11"/>
  <c r="M22" i="11"/>
  <c r="J13" i="11"/>
  <c r="N19" i="11"/>
  <c r="J44" i="11"/>
  <c r="M23" i="11"/>
  <c r="I17" i="11"/>
  <c r="J9" i="11"/>
  <c r="J12" i="11"/>
  <c r="N25" i="11"/>
  <c r="J78" i="11"/>
  <c r="M19" i="11"/>
  <c r="N24" i="11"/>
  <c r="I82" i="11"/>
  <c r="I48" i="11"/>
  <c r="N20" i="11"/>
  <c r="N23" i="11"/>
  <c r="N22" i="11"/>
  <c r="M21" i="11"/>
  <c r="N21" i="11"/>
  <c r="M24" i="11"/>
  <c r="J33" i="4"/>
  <c r="J31" i="4"/>
  <c r="J32" i="4"/>
  <c r="C26" i="4"/>
  <c r="U19" i="11"/>
  <c r="Z23" i="11"/>
  <c r="J520" i="11"/>
  <c r="I422" i="11"/>
  <c r="J554" i="11"/>
  <c r="Q24" i="11"/>
  <c r="I388" i="11"/>
  <c r="J588" i="11"/>
  <c r="Z25" i="11"/>
  <c r="I252" i="11"/>
  <c r="AF25" i="11"/>
  <c r="AG21" i="11"/>
  <c r="S25" i="11"/>
  <c r="AF20" i="11"/>
  <c r="J758" i="11"/>
  <c r="J180" i="11"/>
  <c r="J350" i="11"/>
  <c r="AG19" i="11"/>
  <c r="Z22" i="11"/>
  <c r="X22" i="11"/>
  <c r="R19" i="11"/>
  <c r="AI22" i="11"/>
  <c r="AJ25" i="11"/>
  <c r="P25" i="11"/>
  <c r="U24" i="11"/>
  <c r="AE25" i="11"/>
  <c r="R23" i="11"/>
  <c r="AF22" i="11"/>
  <c r="T25" i="11"/>
  <c r="J690" i="11"/>
  <c r="Y19" i="11"/>
  <c r="I286" i="11"/>
  <c r="AA20" i="11"/>
  <c r="J486" i="11"/>
  <c r="AF24" i="11"/>
  <c r="Q23" i="11"/>
  <c r="AH19" i="11"/>
  <c r="AH20" i="11"/>
  <c r="U20" i="11"/>
  <c r="W22" i="11"/>
  <c r="R22" i="11"/>
  <c r="AE19" i="11"/>
  <c r="Y22" i="11"/>
  <c r="I184" i="11"/>
  <c r="AH22" i="11"/>
  <c r="I116" i="11"/>
  <c r="U25" i="11"/>
  <c r="J112" i="11"/>
  <c r="J384" i="11"/>
  <c r="AI23" i="11"/>
  <c r="AD20" i="11"/>
  <c r="S20" i="11"/>
  <c r="X21" i="11"/>
  <c r="I456" i="11"/>
  <c r="AD22" i="11"/>
  <c r="U21" i="11"/>
  <c r="AA22" i="11"/>
  <c r="T20" i="11"/>
  <c r="J418" i="11"/>
  <c r="AH21" i="11"/>
  <c r="AH25" i="11"/>
  <c r="J724" i="11"/>
  <c r="AB23" i="11"/>
  <c r="AE22" i="11"/>
  <c r="AB24" i="11"/>
  <c r="O20" i="11"/>
  <c r="Q21" i="11"/>
  <c r="J146" i="11"/>
  <c r="I490" i="11"/>
  <c r="T19" i="11"/>
  <c r="AG20" i="11"/>
  <c r="R20" i="11"/>
  <c r="I558" i="11"/>
  <c r="AJ20" i="11"/>
  <c r="S21" i="11"/>
  <c r="X19" i="11"/>
  <c r="AA25" i="11"/>
  <c r="I320" i="11"/>
  <c r="AB22" i="11"/>
  <c r="AJ21" i="11"/>
  <c r="U23" i="11"/>
  <c r="R21" i="11"/>
  <c r="AC22" i="11"/>
  <c r="J656" i="11"/>
  <c r="AI21" i="11"/>
  <c r="W25" i="11"/>
  <c r="AA23" i="11"/>
  <c r="I626" i="11"/>
  <c r="J452" i="11"/>
  <c r="I524" i="11"/>
  <c r="AB20" i="11"/>
  <c r="J316" i="11"/>
  <c r="I830" i="11"/>
  <c r="S23" i="11"/>
  <c r="U22" i="11"/>
  <c r="Z20" i="11"/>
  <c r="AF19" i="11"/>
  <c r="AD23" i="11"/>
  <c r="AD24" i="11"/>
  <c r="Y23" i="11"/>
  <c r="I762" i="11"/>
  <c r="Q22" i="11"/>
  <c r="R24" i="11"/>
  <c r="I660" i="11"/>
  <c r="AJ19" i="11"/>
  <c r="Y21" i="11"/>
  <c r="S22" i="11"/>
  <c r="AA24" i="11"/>
  <c r="AI24" i="11"/>
  <c r="T24" i="11"/>
  <c r="P23" i="11"/>
  <c r="AE20" i="11"/>
  <c r="O25" i="11"/>
  <c r="AF23" i="11"/>
  <c r="AC24" i="11"/>
  <c r="AG22" i="11"/>
  <c r="AE21" i="11"/>
  <c r="V23" i="11"/>
  <c r="W23" i="11"/>
  <c r="AJ22" i="11"/>
  <c r="AB19" i="11"/>
  <c r="AJ23" i="11"/>
  <c r="X20" i="11"/>
  <c r="X24" i="11"/>
  <c r="P19" i="11"/>
  <c r="AA21" i="11"/>
  <c r="AD21" i="11"/>
  <c r="P22" i="11"/>
  <c r="I796" i="11"/>
  <c r="O22" i="11"/>
  <c r="AB25" i="11"/>
  <c r="O19" i="11"/>
  <c r="AC25" i="11"/>
  <c r="AE23" i="11"/>
  <c r="V21" i="11"/>
  <c r="AG24" i="11"/>
  <c r="I728" i="11"/>
  <c r="AC19" i="11"/>
  <c r="AA19" i="11"/>
  <c r="T21" i="11"/>
  <c r="S24" i="11"/>
  <c r="W21" i="11"/>
  <c r="AJ24" i="11"/>
  <c r="J282" i="11"/>
  <c r="X25" i="11"/>
  <c r="I592" i="11"/>
  <c r="W19" i="11"/>
  <c r="V25" i="11"/>
  <c r="R25" i="11"/>
  <c r="Z24" i="11"/>
  <c r="Q19" i="11"/>
  <c r="P24" i="11"/>
  <c r="AI20" i="11"/>
  <c r="O21" i="11"/>
  <c r="AC20" i="11"/>
  <c r="J792" i="11"/>
  <c r="AF21" i="11"/>
  <c r="AC21" i="11"/>
  <c r="J248" i="11"/>
  <c r="I354" i="11"/>
  <c r="V24" i="11"/>
  <c r="Y25" i="11"/>
  <c r="O23" i="11"/>
  <c r="P20" i="11"/>
  <c r="V19" i="11"/>
  <c r="AD19" i="11"/>
  <c r="AG23" i="11"/>
  <c r="Y24" i="11"/>
  <c r="AH24" i="11"/>
  <c r="O24" i="11"/>
  <c r="V20" i="11"/>
  <c r="Z19" i="11"/>
  <c r="AD25" i="11"/>
  <c r="Y20" i="11"/>
  <c r="AC23" i="11"/>
  <c r="Q20" i="11"/>
  <c r="AJ32" i="11"/>
  <c r="Q25" i="11"/>
  <c r="Z21" i="11"/>
  <c r="T22" i="11"/>
  <c r="J826" i="11"/>
  <c r="S19" i="11"/>
  <c r="AE24" i="11"/>
  <c r="AI19" i="11"/>
  <c r="T23" i="11"/>
  <c r="I694" i="11"/>
  <c r="V22" i="11"/>
  <c r="X23" i="11"/>
  <c r="AG25" i="11"/>
  <c r="W24" i="11"/>
  <c r="AB21" i="11"/>
  <c r="AI25" i="11"/>
  <c r="P21" i="11"/>
  <c r="J622" i="11"/>
  <c r="I218" i="11"/>
  <c r="W20" i="11"/>
  <c r="J214" i="11"/>
  <c r="I150" i="11"/>
  <c r="AH23" i="11"/>
  <c r="A97" i="11" l="1"/>
  <c r="A100" i="11" s="1"/>
  <c r="A101" i="11" s="1"/>
  <c r="A63" i="11"/>
  <c r="A66" i="11" s="1"/>
  <c r="A67" i="11" s="1"/>
  <c r="A607" i="11"/>
  <c r="A610" i="11" s="1"/>
  <c r="A611" i="11" s="1"/>
  <c r="A32" i="4"/>
  <c r="A35" i="4" s="1"/>
  <c r="A36" i="4" s="1"/>
  <c r="A37" i="4" s="1"/>
  <c r="A267" i="11"/>
  <c r="A270" i="11" s="1"/>
  <c r="A271" i="11" s="1"/>
  <c r="A641" i="11"/>
  <c r="A644" i="11" s="1"/>
  <c r="A645" i="11" s="1"/>
  <c r="A131" i="11"/>
  <c r="A134" i="11" s="1"/>
  <c r="A135" i="11" s="1"/>
  <c r="A403" i="11"/>
  <c r="A406" i="11" s="1"/>
  <c r="A407" i="11" s="1"/>
  <c r="A437" i="11"/>
  <c r="A440" i="11" s="1"/>
  <c r="A441" i="11" s="1"/>
  <c r="A369" i="11"/>
  <c r="A372" i="11" s="1"/>
  <c r="A373" i="11" s="1"/>
  <c r="A573" i="11"/>
  <c r="A576" i="11" s="1"/>
  <c r="A577" i="11" s="1"/>
  <c r="A505" i="11"/>
  <c r="A508" i="11" s="1"/>
  <c r="A509" i="11" s="1"/>
  <c r="A301" i="11"/>
  <c r="A304" i="11" s="1"/>
  <c r="A305" i="11" s="1"/>
  <c r="A335" i="11"/>
  <c r="A338" i="11" s="1"/>
  <c r="A339" i="11" s="1"/>
  <c r="A539" i="11"/>
  <c r="A542" i="11" s="1"/>
  <c r="A543" i="11" s="1"/>
  <c r="A471" i="11"/>
  <c r="A474" i="11" s="1"/>
  <c r="A475" i="11" s="1"/>
  <c r="A675" i="11"/>
  <c r="A678" i="11" s="1"/>
  <c r="A679" i="11" s="1"/>
  <c r="A233" i="11"/>
  <c r="A236" i="11" s="1"/>
  <c r="A237" i="11" s="1"/>
  <c r="A199" i="11"/>
  <c r="A202" i="11" s="1"/>
  <c r="A203" i="11" s="1"/>
  <c r="A165" i="11"/>
  <c r="A168" i="11" s="1"/>
  <c r="A169" i="11" s="1"/>
  <c r="K69" i="11"/>
  <c r="M35" i="11"/>
  <c r="D71" i="11"/>
  <c r="A71" i="11" s="1"/>
  <c r="AY32" i="11"/>
  <c r="K1358" i="11"/>
  <c r="D1360" i="11"/>
  <c r="C21" i="11"/>
  <c r="N18" i="11"/>
  <c r="C91" i="11"/>
  <c r="K104" i="11"/>
  <c r="N36" i="11"/>
  <c r="N30" i="11"/>
  <c r="K98" i="11"/>
  <c r="C25" i="11"/>
  <c r="C20" i="11"/>
  <c r="AV18" i="11"/>
  <c r="C1247" i="11"/>
  <c r="C1111" i="11"/>
  <c r="AR18" i="11"/>
  <c r="AQ18" i="11"/>
  <c r="C1077" i="11"/>
  <c r="C1213" i="11"/>
  <c r="AU18" i="11"/>
  <c r="AY18" i="11"/>
  <c r="C1349" i="11"/>
  <c r="C1315" i="11"/>
  <c r="AX18" i="11"/>
  <c r="C1451" i="11"/>
  <c r="BB18" i="11"/>
  <c r="AS18" i="11"/>
  <c r="C1145" i="11"/>
  <c r="BE18" i="11"/>
  <c r="C1553" i="11"/>
  <c r="AM18" i="11"/>
  <c r="C941" i="11"/>
  <c r="C1179" i="11"/>
  <c r="AT18" i="11"/>
  <c r="BD18" i="11"/>
  <c r="C1519" i="11"/>
  <c r="AO18" i="11"/>
  <c r="C1009" i="11"/>
  <c r="AY36" i="11"/>
  <c r="K1362" i="11"/>
  <c r="AY33" i="11"/>
  <c r="K1359" i="11"/>
  <c r="BB29" i="11"/>
  <c r="K1457" i="11"/>
  <c r="AY30" i="11"/>
  <c r="K1356" i="11"/>
  <c r="BG29" i="11"/>
  <c r="K1627" i="11"/>
  <c r="K951" i="11"/>
  <c r="AM33" i="11"/>
  <c r="AM29" i="11"/>
  <c r="K947" i="11"/>
  <c r="AS32" i="11"/>
  <c r="K1154" i="11"/>
  <c r="D1156" i="11"/>
  <c r="BG36" i="11"/>
  <c r="K1634" i="11"/>
  <c r="AT36" i="11"/>
  <c r="K1192" i="11"/>
  <c r="K886" i="11"/>
  <c r="AK36" i="11"/>
  <c r="AS36" i="11"/>
  <c r="K1158" i="11"/>
  <c r="BG33" i="11"/>
  <c r="K1631" i="11"/>
  <c r="BD33" i="11"/>
  <c r="K1529" i="11"/>
  <c r="AU29" i="11"/>
  <c r="K1219" i="11"/>
  <c r="AL33" i="11"/>
  <c r="K917" i="11"/>
  <c r="AO33" i="11"/>
  <c r="K1019" i="11"/>
  <c r="AW30" i="11"/>
  <c r="K1288" i="11"/>
  <c r="BH30" i="11"/>
  <c r="K1662" i="11"/>
  <c r="AX30" i="11"/>
  <c r="K1322" i="11"/>
  <c r="AR30" i="11"/>
  <c r="K1118" i="11"/>
  <c r="AP29" i="11"/>
  <c r="K1049" i="11"/>
  <c r="AQ36" i="11"/>
  <c r="K1090" i="11"/>
  <c r="AX36" i="11"/>
  <c r="K1328" i="11"/>
  <c r="AL32" i="11"/>
  <c r="K916" i="11"/>
  <c r="D918" i="11"/>
  <c r="AV36" i="11"/>
  <c r="K1260" i="11"/>
  <c r="BD30" i="11"/>
  <c r="K1526" i="11"/>
  <c r="AK29" i="11"/>
  <c r="K879" i="11"/>
  <c r="BF30" i="11"/>
  <c r="K1594" i="11"/>
  <c r="A1594" i="11"/>
  <c r="AL29" i="11"/>
  <c r="K913" i="11"/>
  <c r="AP30" i="11"/>
  <c r="K1050" i="11"/>
  <c r="BC30" i="11"/>
  <c r="K1492" i="11"/>
  <c r="AL30" i="11"/>
  <c r="K914" i="11"/>
  <c r="K1189" i="11"/>
  <c r="AT33" i="11"/>
  <c r="AS29" i="11"/>
  <c r="K1151" i="11"/>
  <c r="AT29" i="11"/>
  <c r="K1185" i="11"/>
  <c r="AQ30" i="11"/>
  <c r="K1084" i="11"/>
  <c r="AR29" i="11"/>
  <c r="K1117" i="11"/>
  <c r="BF36" i="11"/>
  <c r="K1600" i="11"/>
  <c r="AZ36" i="11"/>
  <c r="K1396" i="11"/>
  <c r="BA36" i="11"/>
  <c r="K1430" i="11"/>
  <c r="AZ29" i="11"/>
  <c r="K1389" i="11"/>
  <c r="BD29" i="11"/>
  <c r="K1525" i="11"/>
  <c r="AX29" i="11"/>
  <c r="A1321" i="11"/>
  <c r="K1321" i="11"/>
  <c r="BE30" i="11"/>
  <c r="K1560" i="11"/>
  <c r="AK33" i="11"/>
  <c r="K883" i="11"/>
  <c r="M36" i="11"/>
  <c r="K70" i="11"/>
  <c r="C24" i="11"/>
  <c r="M30" i="11"/>
  <c r="K64" i="11"/>
  <c r="D105" i="11"/>
  <c r="A105" i="11" s="1"/>
  <c r="N35" i="11"/>
  <c r="K103" i="11"/>
  <c r="K97" i="11"/>
  <c r="N29" i="11"/>
  <c r="C19" i="11"/>
  <c r="K101" i="11"/>
  <c r="N33" i="11"/>
  <c r="K63" i="11"/>
  <c r="M29" i="11"/>
  <c r="M33" i="11"/>
  <c r="K67" i="11"/>
  <c r="C22" i="11"/>
  <c r="C57" i="11"/>
  <c r="M18" i="11"/>
  <c r="C1281" i="11"/>
  <c r="AW18" i="11"/>
  <c r="AL18" i="11"/>
  <c r="C907" i="11"/>
  <c r="BH18" i="11"/>
  <c r="C1655" i="11"/>
  <c r="AZ18" i="11"/>
  <c r="C1383" i="11"/>
  <c r="C1485" i="11"/>
  <c r="BC18" i="11"/>
  <c r="BA18" i="11"/>
  <c r="C1417" i="11"/>
  <c r="BF18" i="11"/>
  <c r="C1587" i="11"/>
  <c r="BG18" i="11"/>
  <c r="C1621" i="11"/>
  <c r="C975" i="11"/>
  <c r="AN18" i="11"/>
  <c r="C1043" i="11"/>
  <c r="AP18" i="11"/>
  <c r="AK18" i="11"/>
  <c r="C873" i="11"/>
  <c r="AU36" i="11"/>
  <c r="K1226" i="11"/>
  <c r="K1053" i="11"/>
  <c r="AP33" i="11"/>
  <c r="BD36" i="11"/>
  <c r="K1532" i="11"/>
  <c r="BB35" i="11"/>
  <c r="K1463" i="11"/>
  <c r="D1465" i="11"/>
  <c r="AY29" i="11"/>
  <c r="K1355" i="11"/>
  <c r="AR36" i="11"/>
  <c r="K1124" i="11"/>
  <c r="AZ30" i="11"/>
  <c r="K1390" i="11"/>
  <c r="AX33" i="11"/>
  <c r="K1325" i="11"/>
  <c r="AS30" i="11"/>
  <c r="K1152" i="11"/>
  <c r="AT30" i="11"/>
  <c r="K1186" i="11"/>
  <c r="AN30" i="11"/>
  <c r="K982" i="11"/>
  <c r="AR33" i="11"/>
  <c r="K1121" i="11"/>
  <c r="AO30" i="11"/>
  <c r="K1016" i="11"/>
  <c r="BG30" i="11"/>
  <c r="K1628" i="11"/>
  <c r="AK30" i="11"/>
  <c r="K880" i="11"/>
  <c r="BH33" i="11"/>
  <c r="K1665" i="11"/>
  <c r="BA29" i="11"/>
  <c r="K1423" i="11"/>
  <c r="AR32" i="11"/>
  <c r="K1120" i="11"/>
  <c r="D1122" i="11"/>
  <c r="A1120" i="11"/>
  <c r="A1121" i="11" s="1"/>
  <c r="BB36" i="11"/>
  <c r="K1464" i="11"/>
  <c r="BH36" i="11"/>
  <c r="K1668" i="11"/>
  <c r="BF33" i="11"/>
  <c r="K1597" i="11"/>
  <c r="AV30" i="11"/>
  <c r="K1254" i="11"/>
  <c r="K954" i="11"/>
  <c r="AM36" i="11"/>
  <c r="AQ29" i="11"/>
  <c r="K1083" i="11"/>
  <c r="BB30" i="11"/>
  <c r="K1458" i="11"/>
  <c r="BC29" i="11"/>
  <c r="K1491" i="11"/>
  <c r="BE36" i="11"/>
  <c r="K1566" i="11"/>
  <c r="BE33" i="11"/>
  <c r="K1563" i="11"/>
  <c r="BC36" i="11"/>
  <c r="K1498" i="11"/>
  <c r="K1056" i="11"/>
  <c r="AP36" i="11"/>
  <c r="BF29" i="11"/>
  <c r="K1593" i="11"/>
  <c r="A1593" i="11"/>
  <c r="AU33" i="11"/>
  <c r="K1223" i="11"/>
  <c r="AU30" i="11"/>
  <c r="K1220" i="11"/>
  <c r="AV33" i="11"/>
  <c r="K1257" i="11"/>
  <c r="AV29" i="11"/>
  <c r="K1253" i="11"/>
  <c r="AM30" i="11"/>
  <c r="K948" i="11"/>
  <c r="AS33" i="11"/>
  <c r="K1155" i="11"/>
  <c r="AO29" i="11"/>
  <c r="K1015" i="11"/>
  <c r="AW33" i="11"/>
  <c r="K1291" i="11"/>
  <c r="AZ33" i="11"/>
  <c r="K1393" i="11"/>
  <c r="AN33" i="11"/>
  <c r="K985" i="11"/>
  <c r="AW29" i="11"/>
  <c r="K1287" i="11"/>
  <c r="K1022" i="11"/>
  <c r="AO36" i="11"/>
  <c r="BA33" i="11"/>
  <c r="K1427" i="11"/>
  <c r="BA30" i="11"/>
  <c r="K1424" i="11"/>
  <c r="BB33" i="11"/>
  <c r="K1461" i="11"/>
  <c r="BC33" i="11"/>
  <c r="K1495" i="11"/>
  <c r="AN29" i="11"/>
  <c r="K981" i="11"/>
  <c r="AW36" i="11"/>
  <c r="K1294" i="11"/>
  <c r="K920" i="11"/>
  <c r="AL36" i="11"/>
  <c r="BE29" i="11"/>
  <c r="K1559" i="11"/>
  <c r="A1559" i="11"/>
  <c r="A1560" i="11" s="1"/>
  <c r="K1087" i="11"/>
  <c r="AQ33" i="11"/>
  <c r="K988" i="11"/>
  <c r="AN36" i="11"/>
  <c r="BH29" i="11"/>
  <c r="K1661" i="11"/>
  <c r="J35" i="4"/>
  <c r="J30" i="4"/>
  <c r="J38" i="4"/>
  <c r="D40" i="4"/>
  <c r="A40" i="4" s="1"/>
  <c r="AG35" i="11"/>
  <c r="D751" i="11"/>
  <c r="K749" i="11"/>
  <c r="D241" i="11"/>
  <c r="A241" i="11" s="1"/>
  <c r="R35" i="11"/>
  <c r="K239" i="11"/>
  <c r="K308" i="11"/>
  <c r="T36" i="11"/>
  <c r="K138" i="11"/>
  <c r="O36" i="11"/>
  <c r="V18" i="11"/>
  <c r="C363" i="11"/>
  <c r="K478" i="11"/>
  <c r="Y36" i="11"/>
  <c r="V36" i="11"/>
  <c r="K376" i="11"/>
  <c r="C839" i="11"/>
  <c r="AJ18" i="11"/>
  <c r="R29" i="11"/>
  <c r="K233" i="11"/>
  <c r="K165" i="11"/>
  <c r="P29" i="11"/>
  <c r="K573" i="11"/>
  <c r="AB29" i="11"/>
  <c r="D748" i="11"/>
  <c r="AG32" i="11"/>
  <c r="K746" i="11"/>
  <c r="C23" i="11"/>
  <c r="K675" i="11"/>
  <c r="AE29" i="11"/>
  <c r="Y33" i="11"/>
  <c r="K475" i="11"/>
  <c r="T29" i="11"/>
  <c r="K301" i="11"/>
  <c r="AC36" i="11"/>
  <c r="K614" i="11"/>
  <c r="AG18" i="11"/>
  <c r="C737" i="11"/>
  <c r="D445" i="11"/>
  <c r="A445" i="11" s="1"/>
  <c r="X35" i="11"/>
  <c r="K443" i="11"/>
  <c r="AC30" i="11"/>
  <c r="K608" i="11"/>
  <c r="D680" i="11"/>
  <c r="K678" i="11"/>
  <c r="AE32" i="11"/>
  <c r="K716" i="11"/>
  <c r="AF36" i="11"/>
  <c r="U29" i="11"/>
  <c r="K335" i="11"/>
  <c r="AA36" i="11"/>
  <c r="K546" i="11"/>
  <c r="K542" i="11"/>
  <c r="D544" i="11"/>
  <c r="AA32" i="11"/>
  <c r="AJ30" i="11"/>
  <c r="K846" i="11"/>
  <c r="K679" i="11"/>
  <c r="AE33" i="11"/>
  <c r="AD18" i="11"/>
  <c r="C635" i="11"/>
  <c r="K580" i="11"/>
  <c r="AB36" i="11"/>
  <c r="P33" i="11"/>
  <c r="K169" i="11"/>
  <c r="Q36" i="11"/>
  <c r="K206" i="11"/>
  <c r="O33" i="11"/>
  <c r="K135" i="11"/>
  <c r="X30" i="11"/>
  <c r="K438" i="11"/>
  <c r="O32" i="11"/>
  <c r="K134" i="11"/>
  <c r="D136" i="11"/>
  <c r="K505" i="11"/>
  <c r="Z29" i="11"/>
  <c r="AC33" i="11"/>
  <c r="K611" i="11"/>
  <c r="K410" i="11"/>
  <c r="W36" i="11"/>
  <c r="K474" i="11"/>
  <c r="Y32" i="11"/>
  <c r="D476" i="11"/>
  <c r="R30" i="11"/>
  <c r="K234" i="11"/>
  <c r="K848" i="11"/>
  <c r="A848" i="11"/>
  <c r="D850" i="11"/>
  <c r="AB33" i="11"/>
  <c r="K577" i="11"/>
  <c r="K302" i="11"/>
  <c r="T30" i="11"/>
  <c r="K236" i="11"/>
  <c r="D238" i="11"/>
  <c r="A238" i="11" s="1"/>
  <c r="R32" i="11"/>
  <c r="P30" i="11"/>
  <c r="K166" i="11"/>
  <c r="AA30" i="11"/>
  <c r="K540" i="11"/>
  <c r="S30" i="11"/>
  <c r="K268" i="11"/>
  <c r="K132" i="11"/>
  <c r="O30" i="11"/>
  <c r="K338" i="11"/>
  <c r="D340" i="11"/>
  <c r="U32" i="11"/>
  <c r="K199" i="11"/>
  <c r="Q29" i="11"/>
  <c r="C703" i="11"/>
  <c r="AF18" i="11"/>
  <c r="K403" i="11"/>
  <c r="W29" i="11"/>
  <c r="V29" i="11"/>
  <c r="K369" i="11"/>
  <c r="AI29" i="11"/>
  <c r="K811" i="11"/>
  <c r="V33" i="11"/>
  <c r="K373" i="11"/>
  <c r="X32" i="11"/>
  <c r="K440" i="11"/>
  <c r="D442" i="11"/>
  <c r="S32" i="11"/>
  <c r="K270" i="11"/>
  <c r="D272" i="11"/>
  <c r="R18" i="11"/>
  <c r="C227" i="11"/>
  <c r="AH30" i="11"/>
  <c r="K778" i="11"/>
  <c r="Q30" i="11"/>
  <c r="K200" i="11"/>
  <c r="K777" i="11"/>
  <c r="AH29" i="11"/>
  <c r="D612" i="11"/>
  <c r="A612" i="11" s="1"/>
  <c r="AC32" i="11"/>
  <c r="K610" i="11"/>
  <c r="R36" i="11"/>
  <c r="K240" i="11"/>
  <c r="AE18" i="11"/>
  <c r="C669" i="11"/>
  <c r="U18" i="11"/>
  <c r="C329" i="11"/>
  <c r="K336" i="11"/>
  <c r="U30" i="11"/>
  <c r="AA29" i="11"/>
  <c r="K539" i="11"/>
  <c r="AB32" i="11"/>
  <c r="K576" i="11"/>
  <c r="D578" i="11"/>
  <c r="K784" i="11"/>
  <c r="AH36" i="11"/>
  <c r="AF33" i="11"/>
  <c r="K713" i="11"/>
  <c r="K543" i="11"/>
  <c r="AA33" i="11"/>
  <c r="W32" i="11"/>
  <c r="D408" i="11"/>
  <c r="A408" i="11" s="1"/>
  <c r="K406" i="11"/>
  <c r="AJ36" i="11"/>
  <c r="K852" i="11"/>
  <c r="K131" i="11"/>
  <c r="O29" i="11"/>
  <c r="AG29" i="11"/>
  <c r="K743" i="11"/>
  <c r="AE30" i="11"/>
  <c r="K676" i="11"/>
  <c r="W18" i="11"/>
  <c r="C397" i="11"/>
  <c r="C431" i="11"/>
  <c r="X18" i="11"/>
  <c r="Y30" i="11"/>
  <c r="K472" i="11"/>
  <c r="S18" i="11"/>
  <c r="C261" i="11"/>
  <c r="K845" i="11"/>
  <c r="A845" i="11"/>
  <c r="AJ29" i="11"/>
  <c r="C499" i="11"/>
  <c r="Z18" i="11"/>
  <c r="K508" i="11"/>
  <c r="Z32" i="11"/>
  <c r="D510" i="11"/>
  <c r="AH32" i="11"/>
  <c r="K780" i="11"/>
  <c r="D782" i="11"/>
  <c r="C533" i="11"/>
  <c r="AA18" i="11"/>
  <c r="K512" i="11"/>
  <c r="Z36" i="11"/>
  <c r="Q35" i="11"/>
  <c r="K205" i="11"/>
  <c r="D207" i="11"/>
  <c r="A207" i="11" s="1"/>
  <c r="K709" i="11"/>
  <c r="AF29" i="11"/>
  <c r="AG36" i="11"/>
  <c r="K750" i="11"/>
  <c r="Z30" i="11"/>
  <c r="K506" i="11"/>
  <c r="K271" i="11"/>
  <c r="S33" i="11"/>
  <c r="T18" i="11"/>
  <c r="C295" i="11"/>
  <c r="AC29" i="11"/>
  <c r="K607" i="11"/>
  <c r="K274" i="11"/>
  <c r="S36" i="11"/>
  <c r="K342" i="11"/>
  <c r="U36" i="11"/>
  <c r="Q33" i="11"/>
  <c r="K203" i="11"/>
  <c r="K437" i="11"/>
  <c r="X29" i="11"/>
  <c r="AC18" i="11"/>
  <c r="C601" i="11"/>
  <c r="R33" i="11"/>
  <c r="K237" i="11"/>
  <c r="K645" i="11"/>
  <c r="AD33" i="11"/>
  <c r="K744" i="11"/>
  <c r="AG30" i="11"/>
  <c r="C465" i="11"/>
  <c r="Y18" i="11"/>
  <c r="C125" i="11"/>
  <c r="O18" i="11"/>
  <c r="K812" i="11"/>
  <c r="AI30" i="11"/>
  <c r="AJ33" i="11"/>
  <c r="A849" i="11"/>
  <c r="K849" i="11"/>
  <c r="C771" i="11"/>
  <c r="AH18" i="11"/>
  <c r="D170" i="11"/>
  <c r="P32" i="11"/>
  <c r="K168" i="11"/>
  <c r="X36" i="11"/>
  <c r="K444" i="11"/>
  <c r="K648" i="11"/>
  <c r="AD36" i="11"/>
  <c r="C805" i="11"/>
  <c r="AI18" i="11"/>
  <c r="D374" i="11"/>
  <c r="V32" i="11"/>
  <c r="K372" i="11"/>
  <c r="K304" i="11"/>
  <c r="D306" i="11"/>
  <c r="T32" i="11"/>
  <c r="K339" i="11"/>
  <c r="U33" i="11"/>
  <c r="P18" i="11"/>
  <c r="C159" i="11"/>
  <c r="K407" i="11"/>
  <c r="W33" i="11"/>
  <c r="K471" i="11"/>
  <c r="Y29" i="11"/>
  <c r="AD30" i="11"/>
  <c r="K642" i="11"/>
  <c r="K172" i="11"/>
  <c r="P36" i="11"/>
  <c r="W30" i="11"/>
  <c r="K404" i="11"/>
  <c r="K710" i="11"/>
  <c r="AF30" i="11"/>
  <c r="AI33" i="11"/>
  <c r="K815" i="11"/>
  <c r="K682" i="11"/>
  <c r="AE36" i="11"/>
  <c r="Q18" i="11"/>
  <c r="C193" i="11"/>
  <c r="C567" i="11"/>
  <c r="AB18" i="11"/>
  <c r="K747" i="11"/>
  <c r="AG33" i="11"/>
  <c r="AI32" i="11"/>
  <c r="D816" i="11"/>
  <c r="K814" i="11"/>
  <c r="S29" i="11"/>
  <c r="K267" i="11"/>
  <c r="V30" i="11"/>
  <c r="K370" i="11"/>
  <c r="K305" i="11"/>
  <c r="T33" i="11"/>
  <c r="AH33" i="11"/>
  <c r="K781" i="11"/>
  <c r="K574" i="11"/>
  <c r="AB30" i="11"/>
  <c r="K818" i="11"/>
  <c r="AI36" i="11"/>
  <c r="K644" i="11"/>
  <c r="D646" i="11"/>
  <c r="A646" i="11" s="1"/>
  <c r="AD32" i="11"/>
  <c r="K441" i="11"/>
  <c r="X33" i="11"/>
  <c r="K202" i="11"/>
  <c r="D204" i="11"/>
  <c r="A204" i="11" s="1"/>
  <c r="Q32" i="11"/>
  <c r="AD29" i="11"/>
  <c r="K641" i="11"/>
  <c r="Z33" i="11"/>
  <c r="K509" i="11"/>
  <c r="K712" i="11"/>
  <c r="D714" i="11"/>
  <c r="AF32" i="11"/>
  <c r="A306" i="11" l="1"/>
  <c r="A272" i="11"/>
  <c r="A170" i="11"/>
  <c r="A578" i="11"/>
  <c r="A442" i="11"/>
  <c r="A136" i="11"/>
  <c r="A544" i="11"/>
  <c r="A680" i="11"/>
  <c r="A374" i="11"/>
  <c r="A510" i="11"/>
  <c r="A340" i="11"/>
  <c r="A476" i="11"/>
  <c r="J40" i="4"/>
  <c r="A1562" i="11"/>
  <c r="A1563" i="11" s="1"/>
  <c r="K1557" i="11"/>
  <c r="A1557" i="11"/>
  <c r="BE32" i="11"/>
  <c r="K1562" i="11"/>
  <c r="D1564" i="11"/>
  <c r="K979" i="11"/>
  <c r="A979" i="11"/>
  <c r="A981" i="11" s="1"/>
  <c r="AN32" i="11"/>
  <c r="K984" i="11"/>
  <c r="D986" i="11"/>
  <c r="A984" i="11"/>
  <c r="A985" i="11" s="1"/>
  <c r="BA35" i="11"/>
  <c r="K1429" i="11"/>
  <c r="D1431" i="11"/>
  <c r="A1285" i="11"/>
  <c r="A1287" i="11" s="1"/>
  <c r="A1290" i="11" s="1"/>
  <c r="A1291" i="11" s="1"/>
  <c r="K1285" i="11"/>
  <c r="AW32" i="11"/>
  <c r="K1290" i="11"/>
  <c r="D1292" i="11"/>
  <c r="A1013" i="11"/>
  <c r="A1015" i="11" s="1"/>
  <c r="A1018" i="11" s="1"/>
  <c r="A1019" i="11" s="1"/>
  <c r="K1013" i="11"/>
  <c r="AO32" i="11"/>
  <c r="K1018" i="11"/>
  <c r="D1020" i="11"/>
  <c r="AM35" i="11"/>
  <c r="K953" i="11"/>
  <c r="D955" i="11"/>
  <c r="K955" i="11" s="1"/>
  <c r="K1251" i="11"/>
  <c r="A1251" i="11"/>
  <c r="A1253" i="11" s="1"/>
  <c r="K1256" i="11"/>
  <c r="AV32" i="11"/>
  <c r="D1258" i="11"/>
  <c r="A1256" i="11"/>
  <c r="A1257" i="11" s="1"/>
  <c r="K1218" i="11"/>
  <c r="A1218" i="11"/>
  <c r="A1220" i="11" s="1"/>
  <c r="AU35" i="11"/>
  <c r="K1225" i="11"/>
  <c r="D1227" i="11"/>
  <c r="K1456" i="11"/>
  <c r="A1456" i="11"/>
  <c r="A1458" i="11" s="1"/>
  <c r="K1081" i="11"/>
  <c r="A1081" i="11"/>
  <c r="A1083" i="11" s="1"/>
  <c r="A1086" i="11" s="1"/>
  <c r="A1087" i="11" s="1"/>
  <c r="AQ32" i="11"/>
  <c r="K1086" i="11"/>
  <c r="D1088" i="11"/>
  <c r="K878" i="11"/>
  <c r="A878" i="11"/>
  <c r="A880" i="11" s="1"/>
  <c r="K1014" i="11"/>
  <c r="A1014" i="11"/>
  <c r="A1016" i="11" s="1"/>
  <c r="K1184" i="11"/>
  <c r="A1184" i="11"/>
  <c r="A1186" i="11" s="1"/>
  <c r="AT35" i="11"/>
  <c r="K1191" i="11"/>
  <c r="D1193" i="11"/>
  <c r="D1159" i="11"/>
  <c r="K1159" i="11" s="1"/>
  <c r="AS35" i="11"/>
  <c r="K1157" i="11"/>
  <c r="A1353" i="11"/>
  <c r="A1355" i="11" s="1"/>
  <c r="A1358" i="11" s="1"/>
  <c r="A1359" i="11" s="1"/>
  <c r="K1353" i="11"/>
  <c r="K1465" i="11"/>
  <c r="K61" i="11"/>
  <c r="K100" i="11"/>
  <c r="N32" i="11"/>
  <c r="D102" i="11"/>
  <c r="K105" i="11"/>
  <c r="D36" i="11"/>
  <c r="K1558" i="11"/>
  <c r="A1558" i="11"/>
  <c r="BE35" i="11"/>
  <c r="D1567" i="11"/>
  <c r="K1567" i="11" s="1"/>
  <c r="K1565" i="11"/>
  <c r="K1319" i="11"/>
  <c r="A1319" i="11"/>
  <c r="A1387" i="11"/>
  <c r="A1389" i="11" s="1"/>
  <c r="K1387" i="11"/>
  <c r="AQ35" i="11"/>
  <c r="K1089" i="11"/>
  <c r="D1091" i="11"/>
  <c r="K1091" i="11" s="1"/>
  <c r="A1183" i="11"/>
  <c r="A1185" i="11" s="1"/>
  <c r="K1183" i="11"/>
  <c r="K1188" i="11"/>
  <c r="AT32" i="11"/>
  <c r="D1190" i="11"/>
  <c r="A1188" i="11"/>
  <c r="A1189" i="11" s="1"/>
  <c r="A1149" i="11"/>
  <c r="A1151" i="11" s="1"/>
  <c r="A1154" i="11" s="1"/>
  <c r="A1155" i="11" s="1"/>
  <c r="K1149" i="11"/>
  <c r="K911" i="11"/>
  <c r="A911" i="11"/>
  <c r="A913" i="11" s="1"/>
  <c r="A916" i="11" s="1"/>
  <c r="A917" i="11" s="1"/>
  <c r="A918" i="11" s="1"/>
  <c r="K918" i="11"/>
  <c r="K1047" i="11"/>
  <c r="A1047" i="11"/>
  <c r="A1049" i="11" s="1"/>
  <c r="A1052" i="11" s="1"/>
  <c r="A1053" i="11" s="1"/>
  <c r="AP32" i="11"/>
  <c r="D1054" i="11"/>
  <c r="K1052" i="11"/>
  <c r="K1116" i="11"/>
  <c r="A1116" i="11"/>
  <c r="A1118" i="11" s="1"/>
  <c r="A1123" i="11" s="1"/>
  <c r="A1124" i="11" s="1"/>
  <c r="AR35" i="11"/>
  <c r="D1125" i="11"/>
  <c r="K1125" i="11" s="1"/>
  <c r="K1123" i="11"/>
  <c r="K1320" i="11"/>
  <c r="A1320" i="11"/>
  <c r="A1322" i="11" s="1"/>
  <c r="AX35" i="11"/>
  <c r="K1327" i="11"/>
  <c r="D1329" i="11"/>
  <c r="K1660" i="11"/>
  <c r="A1660" i="11"/>
  <c r="A1662" i="11" s="1"/>
  <c r="BH35" i="11"/>
  <c r="K1667" i="11"/>
  <c r="D1669" i="11"/>
  <c r="A1667" i="11"/>
  <c r="A1668" i="11" s="1"/>
  <c r="AW35" i="11"/>
  <c r="K1293" i="11"/>
  <c r="D1295" i="11"/>
  <c r="K1217" i="11"/>
  <c r="A1217" i="11"/>
  <c r="A1219" i="11" s="1"/>
  <c r="A1222" i="11" s="1"/>
  <c r="A1223" i="11" s="1"/>
  <c r="AU32" i="11"/>
  <c r="K1222" i="11"/>
  <c r="D1224" i="11"/>
  <c r="A945" i="11"/>
  <c r="A947" i="11" s="1"/>
  <c r="A950" i="11" s="1"/>
  <c r="A951" i="11" s="1"/>
  <c r="K945" i="11"/>
  <c r="A1455" i="11"/>
  <c r="A1457" i="11" s="1"/>
  <c r="K1455" i="11"/>
  <c r="K96" i="11"/>
  <c r="K1360" i="11"/>
  <c r="A1360" i="11"/>
  <c r="A1659" i="11"/>
  <c r="A1661" i="11" s="1"/>
  <c r="A1664" i="11" s="1"/>
  <c r="A1665" i="11" s="1"/>
  <c r="K1659" i="11"/>
  <c r="BH32" i="11"/>
  <c r="K1664" i="11"/>
  <c r="D1666" i="11"/>
  <c r="K1422" i="11"/>
  <c r="A1422" i="11"/>
  <c r="A1424" i="11" s="1"/>
  <c r="K946" i="11"/>
  <c r="A946" i="11"/>
  <c r="A948" i="11" s="1"/>
  <c r="K1591" i="11"/>
  <c r="A1591" i="11"/>
  <c r="BF32" i="11"/>
  <c r="K1596" i="11"/>
  <c r="D1598" i="11"/>
  <c r="A1596" i="11"/>
  <c r="A1597" i="11" s="1"/>
  <c r="K1489" i="11"/>
  <c r="A1489" i="11"/>
  <c r="A1490" i="11" s="1"/>
  <c r="BC32" i="11"/>
  <c r="K1494" i="11"/>
  <c r="D1496" i="11"/>
  <c r="K1252" i="11"/>
  <c r="A1252" i="11"/>
  <c r="A1254" i="11" s="1"/>
  <c r="AV35" i="11"/>
  <c r="K1259" i="11"/>
  <c r="D1261" i="11"/>
  <c r="K1122" i="11"/>
  <c r="A1122" i="11"/>
  <c r="K1421" i="11"/>
  <c r="A1421" i="11"/>
  <c r="A1423" i="11" s="1"/>
  <c r="A1426" i="11" s="1"/>
  <c r="A1427" i="11" s="1"/>
  <c r="BA32" i="11"/>
  <c r="K1426" i="11"/>
  <c r="D1428" i="11"/>
  <c r="AK35" i="11"/>
  <c r="K885" i="11"/>
  <c r="D887" i="11"/>
  <c r="K887" i="11" s="1"/>
  <c r="K1626" i="11"/>
  <c r="A1626" i="11"/>
  <c r="A1628" i="11" s="1"/>
  <c r="BG35" i="11"/>
  <c r="D1635" i="11"/>
  <c r="K1635" i="11" s="1"/>
  <c r="K1633" i="11"/>
  <c r="A1633" i="11"/>
  <c r="A1634" i="11" s="1"/>
  <c r="AO35" i="11"/>
  <c r="K1021" i="11"/>
  <c r="D1023" i="11"/>
  <c r="K980" i="11"/>
  <c r="A980" i="11"/>
  <c r="A982" i="11" s="1"/>
  <c r="AN35" i="11"/>
  <c r="D989" i="11"/>
  <c r="K989" i="11" s="1"/>
  <c r="K987" i="11"/>
  <c r="K1150" i="11"/>
  <c r="A1150" i="11"/>
  <c r="A1152" i="11" s="1"/>
  <c r="A1157" i="11" s="1"/>
  <c r="A1158" i="11" s="1"/>
  <c r="K1388" i="11"/>
  <c r="A1388" i="11"/>
  <c r="A1390" i="11" s="1"/>
  <c r="AZ35" i="11"/>
  <c r="K1395" i="11"/>
  <c r="D1397" i="11"/>
  <c r="C18" i="11"/>
  <c r="D33" i="11"/>
  <c r="K33" i="11" s="1"/>
  <c r="D29" i="11"/>
  <c r="A29" i="11" s="1"/>
  <c r="D68" i="11"/>
  <c r="A68" i="11" s="1"/>
  <c r="K66" i="11"/>
  <c r="M32" i="11"/>
  <c r="K95" i="11"/>
  <c r="K62" i="11"/>
  <c r="D30" i="11"/>
  <c r="A30" i="11" s="1"/>
  <c r="K1324" i="11"/>
  <c r="AX32" i="11"/>
  <c r="D1326" i="11"/>
  <c r="A1324" i="11"/>
  <c r="A1325" i="11" s="1"/>
  <c r="A1523" i="11"/>
  <c r="A1524" i="11" s="1"/>
  <c r="K1523" i="11"/>
  <c r="BD32" i="11"/>
  <c r="K1528" i="11"/>
  <c r="D1530" i="11"/>
  <c r="K1392" i="11"/>
  <c r="AZ32" i="11"/>
  <c r="D1394" i="11"/>
  <c r="A1392" i="11"/>
  <c r="A1393" i="11" s="1"/>
  <c r="K1115" i="11"/>
  <c r="A1115" i="11"/>
  <c r="A1117" i="11" s="1"/>
  <c r="K1082" i="11"/>
  <c r="A1082" i="11"/>
  <c r="A1084" i="11" s="1"/>
  <c r="K912" i="11"/>
  <c r="A912" i="11"/>
  <c r="A914" i="11" s="1"/>
  <c r="A919" i="11" s="1"/>
  <c r="A920" i="11" s="1"/>
  <c r="AL35" i="11"/>
  <c r="D921" i="11"/>
  <c r="K921" i="11" s="1"/>
  <c r="K919" i="11"/>
  <c r="K1490" i="11"/>
  <c r="BC35" i="11"/>
  <c r="D1499" i="11"/>
  <c r="K1499" i="11" s="1"/>
  <c r="K1497" i="11"/>
  <c r="K1048" i="11"/>
  <c r="A1048" i="11"/>
  <c r="A1050" i="11" s="1"/>
  <c r="AP35" i="11"/>
  <c r="D1057" i="11"/>
  <c r="K1057" i="11" s="1"/>
  <c r="K1055" i="11"/>
  <c r="K1592" i="11"/>
  <c r="A1592" i="11"/>
  <c r="BF35" i="11"/>
  <c r="K1599" i="11"/>
  <c r="D1601" i="11"/>
  <c r="K1601" i="11" s="1"/>
  <c r="K877" i="11"/>
  <c r="A877" i="11"/>
  <c r="A879" i="11" s="1"/>
  <c r="A882" i="11" s="1"/>
  <c r="A883" i="11" s="1"/>
  <c r="AK32" i="11"/>
  <c r="K882" i="11"/>
  <c r="D884" i="11"/>
  <c r="K1524" i="11"/>
  <c r="BD35" i="11"/>
  <c r="K1531" i="11"/>
  <c r="D1533" i="11"/>
  <c r="K1533" i="11" s="1"/>
  <c r="K1286" i="11"/>
  <c r="A1286" i="11"/>
  <c r="A1288" i="11" s="1"/>
  <c r="K1156" i="11"/>
  <c r="A1156" i="11"/>
  <c r="AM32" i="11"/>
  <c r="K950" i="11"/>
  <c r="D952" i="11"/>
  <c r="K1625" i="11"/>
  <c r="A1625" i="11"/>
  <c r="A1627" i="11" s="1"/>
  <c r="A1630" i="11" s="1"/>
  <c r="A1631" i="11" s="1"/>
  <c r="BG32" i="11"/>
  <c r="K1630" i="11"/>
  <c r="D1632" i="11"/>
  <c r="K1354" i="11"/>
  <c r="A1354" i="11"/>
  <c r="A1356" i="11" s="1"/>
  <c r="A1361" i="11" s="1"/>
  <c r="A1362" i="11" s="1"/>
  <c r="AY35" i="11"/>
  <c r="K1361" i="11"/>
  <c r="D1363" i="11"/>
  <c r="K1460" i="11"/>
  <c r="BB32" i="11"/>
  <c r="D1462" i="11"/>
  <c r="A1460" i="11"/>
  <c r="A1461" i="11" s="1"/>
  <c r="K71" i="11"/>
  <c r="J37" i="4"/>
  <c r="D41" i="4"/>
  <c r="K646" i="11"/>
  <c r="K375" i="11"/>
  <c r="D377" i="11"/>
  <c r="V35" i="11"/>
  <c r="AF35" i="11"/>
  <c r="K715" i="11"/>
  <c r="D717" i="11"/>
  <c r="K708" i="11"/>
  <c r="A708" i="11"/>
  <c r="A710" i="11" s="1"/>
  <c r="A715" i="11" s="1"/>
  <c r="A716" i="11" s="1"/>
  <c r="K402" i="11"/>
  <c r="K640" i="11"/>
  <c r="K613" i="11"/>
  <c r="D615" i="11"/>
  <c r="AC35" i="11"/>
  <c r="K810" i="11"/>
  <c r="A810" i="11"/>
  <c r="A812" i="11" s="1"/>
  <c r="A817" i="11" s="1"/>
  <c r="A818" i="11" s="1"/>
  <c r="K435" i="11"/>
  <c r="K707" i="11"/>
  <c r="A707" i="11"/>
  <c r="A709" i="11" s="1"/>
  <c r="A712" i="11" s="1"/>
  <c r="A713" i="11" s="1"/>
  <c r="A714" i="11" s="1"/>
  <c r="K782" i="11"/>
  <c r="K510" i="11"/>
  <c r="K843" i="11"/>
  <c r="A843" i="11"/>
  <c r="K681" i="11"/>
  <c r="D683" i="11"/>
  <c r="A683" i="11" s="1"/>
  <c r="AE35" i="11"/>
  <c r="K129" i="11"/>
  <c r="K578" i="11"/>
  <c r="K537" i="11"/>
  <c r="A775" i="11"/>
  <c r="A777" i="11" s="1"/>
  <c r="A780" i="11" s="1"/>
  <c r="A781" i="11" s="1"/>
  <c r="A782" i="11" s="1"/>
  <c r="K775" i="11"/>
  <c r="AH35" i="11"/>
  <c r="K783" i="11"/>
  <c r="D785" i="11"/>
  <c r="K272" i="11"/>
  <c r="K367" i="11"/>
  <c r="K197" i="11"/>
  <c r="K340" i="11"/>
  <c r="D139" i="11"/>
  <c r="A139" i="11" s="1"/>
  <c r="O35" i="11"/>
  <c r="K137" i="11"/>
  <c r="K266" i="11"/>
  <c r="K538" i="11"/>
  <c r="D547" i="11"/>
  <c r="K545" i="11"/>
  <c r="AA35" i="11"/>
  <c r="K164" i="11"/>
  <c r="D242" i="11"/>
  <c r="A242" i="11" s="1"/>
  <c r="K238" i="11"/>
  <c r="T35" i="11"/>
  <c r="K307" i="11"/>
  <c r="D309" i="11"/>
  <c r="A309" i="11" s="1"/>
  <c r="K232" i="11"/>
  <c r="K503" i="11"/>
  <c r="K136" i="11"/>
  <c r="K436" i="11"/>
  <c r="D853" i="11"/>
  <c r="D854" i="11" s="1"/>
  <c r="K851" i="11"/>
  <c r="AJ35" i="11"/>
  <c r="K544" i="11"/>
  <c r="K606" i="11"/>
  <c r="K299" i="11"/>
  <c r="D752" i="11"/>
  <c r="K748" i="11"/>
  <c r="K571" i="11"/>
  <c r="K163" i="11"/>
  <c r="K579" i="11"/>
  <c r="AB35" i="11"/>
  <c r="D581" i="11"/>
  <c r="A581" i="11" s="1"/>
  <c r="K572" i="11"/>
  <c r="K714" i="11"/>
  <c r="K639" i="11"/>
  <c r="K204" i="11"/>
  <c r="D208" i="11"/>
  <c r="A208" i="11" s="1"/>
  <c r="K368" i="11"/>
  <c r="K265" i="11"/>
  <c r="K816" i="11"/>
  <c r="D411" i="11"/>
  <c r="A411" i="11" s="1"/>
  <c r="W35" i="11"/>
  <c r="K409" i="11"/>
  <c r="K647" i="11"/>
  <c r="AD35" i="11"/>
  <c r="D649" i="11"/>
  <c r="A649" i="11" s="1"/>
  <c r="K469" i="11"/>
  <c r="K306" i="11"/>
  <c r="K374" i="11"/>
  <c r="K170" i="11"/>
  <c r="AI35" i="11"/>
  <c r="D819" i="11"/>
  <c r="D820" i="11" s="1"/>
  <c r="K817" i="11"/>
  <c r="A742" i="11"/>
  <c r="A744" i="11" s="1"/>
  <c r="A749" i="11" s="1"/>
  <c r="A750" i="11" s="1"/>
  <c r="A751" i="11" s="1"/>
  <c r="K742" i="11"/>
  <c r="K605" i="11"/>
  <c r="Z35" i="11"/>
  <c r="D513" i="11"/>
  <c r="K511" i="11"/>
  <c r="K504" i="11"/>
  <c r="K207" i="11"/>
  <c r="D479" i="11"/>
  <c r="Y35" i="11"/>
  <c r="K477" i="11"/>
  <c r="K470" i="11"/>
  <c r="K674" i="11"/>
  <c r="K741" i="11"/>
  <c r="A741" i="11"/>
  <c r="A743" i="11" s="1"/>
  <c r="A746" i="11" s="1"/>
  <c r="A747" i="11" s="1"/>
  <c r="A748" i="11" s="1"/>
  <c r="K408" i="11"/>
  <c r="D343" i="11"/>
  <c r="K341" i="11"/>
  <c r="U35" i="11"/>
  <c r="K334" i="11"/>
  <c r="K612" i="11"/>
  <c r="K198" i="11"/>
  <c r="A776" i="11"/>
  <c r="A778" i="11" s="1"/>
  <c r="A783" i="11" s="1"/>
  <c r="A784" i="11" s="1"/>
  <c r="K776" i="11"/>
  <c r="K442" i="11"/>
  <c r="D446" i="11"/>
  <c r="A446" i="11" s="1"/>
  <c r="K809" i="11"/>
  <c r="A809" i="11"/>
  <c r="A811" i="11" s="1"/>
  <c r="A814" i="11" s="1"/>
  <c r="A815" i="11" s="1"/>
  <c r="A816" i="11" s="1"/>
  <c r="K401" i="11"/>
  <c r="K130" i="11"/>
  <c r="K273" i="11"/>
  <c r="S35" i="11"/>
  <c r="D275" i="11"/>
  <c r="A275" i="11" s="1"/>
  <c r="D173" i="11"/>
  <c r="A173" i="11" s="1"/>
  <c r="P35" i="11"/>
  <c r="K171" i="11"/>
  <c r="K300" i="11"/>
  <c r="K850" i="11"/>
  <c r="A850" i="11"/>
  <c r="K476" i="11"/>
  <c r="A844" i="11"/>
  <c r="A846" i="11" s="1"/>
  <c r="A851" i="11" s="1"/>
  <c r="A852" i="11" s="1"/>
  <c r="K844" i="11"/>
  <c r="K333" i="11"/>
  <c r="K680" i="11"/>
  <c r="K445" i="11"/>
  <c r="K673" i="11"/>
  <c r="K231" i="11"/>
  <c r="K241" i="11"/>
  <c r="K751" i="11"/>
  <c r="L32" i="4" l="1"/>
  <c r="O42" i="4" s="1"/>
  <c r="M42" i="4" s="1"/>
  <c r="A41" i="4"/>
  <c r="D106" i="11"/>
  <c r="A106" i="11" s="1"/>
  <c r="A102" i="11"/>
  <c r="D344" i="11"/>
  <c r="A344" i="11" s="1"/>
  <c r="A343" i="11"/>
  <c r="D480" i="11"/>
  <c r="A480" i="11" s="1"/>
  <c r="A479" i="11"/>
  <c r="D514" i="11"/>
  <c r="A514" i="11" s="1"/>
  <c r="A513" i="11"/>
  <c r="D548" i="11"/>
  <c r="A548" i="11" s="1"/>
  <c r="A547" i="11"/>
  <c r="D616" i="11"/>
  <c r="A616" i="11" s="1"/>
  <c r="A615" i="11"/>
  <c r="D378" i="11"/>
  <c r="A378" i="11" s="1"/>
  <c r="A377" i="11"/>
  <c r="L33" i="4"/>
  <c r="A1395" i="11"/>
  <c r="A1396" i="11" s="1"/>
  <c r="A1397" i="11" s="1"/>
  <c r="A921" i="11"/>
  <c r="A1635" i="11"/>
  <c r="A1125" i="11"/>
  <c r="A1259" i="11"/>
  <c r="A1260" i="11" s="1"/>
  <c r="A1261" i="11" s="1"/>
  <c r="A1491" i="11"/>
  <c r="A1492" i="11" s="1"/>
  <c r="A1494" i="11" s="1"/>
  <c r="A1495" i="11" s="1"/>
  <c r="A1496" i="11" s="1"/>
  <c r="A1497" i="11" s="1"/>
  <c r="A1498" i="11" s="1"/>
  <c r="A1499" i="11" s="1"/>
  <c r="A987" i="11"/>
  <c r="A988" i="11" s="1"/>
  <c r="A989" i="11" s="1"/>
  <c r="A1525" i="11"/>
  <c r="A1526" i="11" s="1"/>
  <c r="A1021" i="11"/>
  <c r="A1022" i="11" s="1"/>
  <c r="A1023" i="11" s="1"/>
  <c r="A1089" i="11"/>
  <c r="A1090" i="11" s="1"/>
  <c r="A1091" i="11" s="1"/>
  <c r="A1055" i="11"/>
  <c r="A1056" i="11" s="1"/>
  <c r="A1057" i="11" s="1"/>
  <c r="D1160" i="11"/>
  <c r="A1160" i="11" s="1"/>
  <c r="A1293" i="11"/>
  <c r="A1294" i="11" s="1"/>
  <c r="A1295" i="11" s="1"/>
  <c r="A1159" i="11"/>
  <c r="A1088" i="11"/>
  <c r="D35" i="11"/>
  <c r="A35" i="11" s="1"/>
  <c r="A36" i="11" s="1"/>
  <c r="D1126" i="11"/>
  <c r="A1126" i="11" s="1"/>
  <c r="A1462" i="11"/>
  <c r="K1462" i="11"/>
  <c r="D1466" i="11"/>
  <c r="A1463" i="11"/>
  <c r="A1464" i="11" s="1"/>
  <c r="A1465" i="11" s="1"/>
  <c r="D1636" i="11"/>
  <c r="A1632" i="11"/>
  <c r="K1632" i="11"/>
  <c r="K884" i="11"/>
  <c r="D888" i="11"/>
  <c r="A884" i="11"/>
  <c r="D1534" i="11"/>
  <c r="K1530" i="11"/>
  <c r="K1326" i="11"/>
  <c r="A1326" i="11"/>
  <c r="D32" i="11"/>
  <c r="K68" i="11"/>
  <c r="D72" i="11"/>
  <c r="A72" i="11" s="1"/>
  <c r="K1397" i="11"/>
  <c r="A885" i="11"/>
  <c r="A886" i="11" s="1"/>
  <c r="A887" i="11" s="1"/>
  <c r="D1432" i="11"/>
  <c r="A1428" i="11"/>
  <c r="K1428" i="11"/>
  <c r="K1261" i="11"/>
  <c r="A1598" i="11"/>
  <c r="A1599" i="11" s="1"/>
  <c r="A1600" i="11" s="1"/>
  <c r="A1601" i="11" s="1"/>
  <c r="A953" i="11"/>
  <c r="A954" i="11" s="1"/>
  <c r="A955" i="11" s="1"/>
  <c r="A1429" i="11"/>
  <c r="A1430" i="11" s="1"/>
  <c r="A1431" i="11" s="1"/>
  <c r="D1670" i="11"/>
  <c r="K1666" i="11"/>
  <c r="A1666" i="11"/>
  <c r="A952" i="11"/>
  <c r="A1224" i="11"/>
  <c r="K1295" i="11"/>
  <c r="A1669" i="11"/>
  <c r="K1669" i="11"/>
  <c r="D1330" i="11"/>
  <c r="K1329" i="11"/>
  <c r="D1058" i="11"/>
  <c r="A1054" i="11"/>
  <c r="K1054" i="11"/>
  <c r="D922" i="11"/>
  <c r="K1190" i="11"/>
  <c r="A1190" i="11"/>
  <c r="A1191" i="11"/>
  <c r="A1192" i="11" s="1"/>
  <c r="A1193" i="11" s="1"/>
  <c r="D1092" i="11"/>
  <c r="K1088" i="11"/>
  <c r="A1225" i="11"/>
  <c r="A1226" i="11" s="1"/>
  <c r="A1227" i="11" s="1"/>
  <c r="K1292" i="11"/>
  <c r="D1296" i="11"/>
  <c r="A1292" i="11"/>
  <c r="K1564" i="11"/>
  <c r="D1568" i="11"/>
  <c r="K1568" i="11" s="1"/>
  <c r="A1363" i="11"/>
  <c r="K1363" i="11"/>
  <c r="K952" i="11"/>
  <c r="D956" i="11"/>
  <c r="A1394" i="11"/>
  <c r="K1394" i="11"/>
  <c r="D1398" i="11"/>
  <c r="K1023" i="11"/>
  <c r="D1500" i="11"/>
  <c r="K1496" i="11"/>
  <c r="D1602" i="11"/>
  <c r="K1602" i="11" s="1"/>
  <c r="K1598" i="11"/>
  <c r="D1364" i="11"/>
  <c r="D1228" i="11"/>
  <c r="K1224" i="11"/>
  <c r="A1327" i="11"/>
  <c r="A1328" i="11" s="1"/>
  <c r="A1329" i="11" s="1"/>
  <c r="K102" i="11"/>
  <c r="D1194" i="11"/>
  <c r="K1193" i="11"/>
  <c r="K1227" i="11"/>
  <c r="K1258" i="11"/>
  <c r="A1258" i="11"/>
  <c r="D1262" i="11"/>
  <c r="D1024" i="11"/>
  <c r="A1020" i="11"/>
  <c r="K1020" i="11"/>
  <c r="K1431" i="11"/>
  <c r="D990" i="11"/>
  <c r="K986" i="11"/>
  <c r="A986" i="11"/>
  <c r="A1564" i="11"/>
  <c r="A1565" i="11" s="1"/>
  <c r="A1566" i="11" s="1"/>
  <c r="A1567" i="11" s="1"/>
  <c r="C26" i="11"/>
  <c r="J41" i="4"/>
  <c r="A820" i="11"/>
  <c r="K820" i="11"/>
  <c r="K275" i="11"/>
  <c r="K29" i="11"/>
  <c r="K649" i="11"/>
  <c r="K208" i="11"/>
  <c r="D582" i="11"/>
  <c r="A582" i="11" s="1"/>
  <c r="K581" i="11"/>
  <c r="K752" i="11"/>
  <c r="A752" i="11"/>
  <c r="D310" i="11"/>
  <c r="A310" i="11" s="1"/>
  <c r="K309" i="11"/>
  <c r="K242" i="11"/>
  <c r="K547" i="11"/>
  <c r="D140" i="11"/>
  <c r="A140" i="11" s="1"/>
  <c r="K139" i="11"/>
  <c r="D684" i="11"/>
  <c r="A684" i="11" s="1"/>
  <c r="K683" i="11"/>
  <c r="K615" i="11"/>
  <c r="K36" i="11"/>
  <c r="A854" i="11"/>
  <c r="K854" i="11"/>
  <c r="D174" i="11"/>
  <c r="A174" i="11" s="1"/>
  <c r="K173" i="11"/>
  <c r="K446" i="11"/>
  <c r="K343" i="11"/>
  <c r="K479" i="11"/>
  <c r="K513" i="11"/>
  <c r="K819" i="11"/>
  <c r="A819" i="11"/>
  <c r="D412" i="11"/>
  <c r="A412" i="11" s="1"/>
  <c r="K411" i="11"/>
  <c r="A853" i="11"/>
  <c r="K853" i="11"/>
  <c r="K30" i="11"/>
  <c r="D276" i="11"/>
  <c r="A276" i="11" s="1"/>
  <c r="K785" i="11"/>
  <c r="A785" i="11"/>
  <c r="D786" i="11"/>
  <c r="D718" i="11"/>
  <c r="A717" i="11"/>
  <c r="K717" i="11"/>
  <c r="K377" i="11"/>
  <c r="D650" i="11"/>
  <c r="A650" i="11" s="1"/>
  <c r="O43" i="4" l="1"/>
  <c r="M43" i="4" s="1"/>
  <c r="K514" i="11"/>
  <c r="K378" i="11"/>
  <c r="K616" i="11"/>
  <c r="K480" i="11"/>
  <c r="K106" i="11"/>
  <c r="K548" i="11"/>
  <c r="K344" i="11"/>
  <c r="K32" i="11"/>
  <c r="A32" i="11"/>
  <c r="A33" i="11" s="1"/>
  <c r="R39" i="4"/>
  <c r="P39" i="4" s="1"/>
  <c r="R38" i="4"/>
  <c r="P38" i="4" s="1"/>
  <c r="R42" i="4"/>
  <c r="P42" i="4" s="1"/>
  <c r="R43" i="4"/>
  <c r="P43" i="4" s="1"/>
  <c r="O32" i="4"/>
  <c r="O38" i="4"/>
  <c r="O34" i="4"/>
  <c r="O41" i="4"/>
  <c r="O39" i="4"/>
  <c r="M39" i="4" s="1"/>
  <c r="O37" i="4"/>
  <c r="M37" i="4" s="1"/>
  <c r="O35" i="4"/>
  <c r="M35" i="4" s="1"/>
  <c r="O33" i="4"/>
  <c r="O40" i="4"/>
  <c r="O36" i="4"/>
  <c r="M36" i="4" s="1"/>
  <c r="R41" i="4"/>
  <c r="P41" i="4" s="1"/>
  <c r="R37" i="4"/>
  <c r="P37" i="4" s="1"/>
  <c r="R35" i="4"/>
  <c r="P35" i="4" s="1"/>
  <c r="R33" i="4"/>
  <c r="P33" i="4" s="1"/>
  <c r="R40" i="4"/>
  <c r="P40" i="4" s="1"/>
  <c r="R36" i="4"/>
  <c r="P36" i="4" s="1"/>
  <c r="R34" i="4"/>
  <c r="P34" i="4" s="1"/>
  <c r="R32" i="4"/>
  <c r="P32" i="4" s="1"/>
  <c r="Q32" i="4" s="1"/>
  <c r="K1126" i="11"/>
  <c r="K1160" i="11"/>
  <c r="A1568" i="11"/>
  <c r="D34" i="11"/>
  <c r="A1528" i="11"/>
  <c r="A1529" i="11" s="1"/>
  <c r="A1530" i="11" s="1"/>
  <c r="A1531" i="11" s="1"/>
  <c r="A1532" i="11" s="1"/>
  <c r="A1533" i="11" s="1"/>
  <c r="A1534" i="11" s="1"/>
  <c r="K990" i="11"/>
  <c r="A990" i="11"/>
  <c r="A1262" i="11"/>
  <c r="K1262" i="11"/>
  <c r="A1364" i="11"/>
  <c r="K1364" i="11"/>
  <c r="A1398" i="11"/>
  <c r="K1398" i="11"/>
  <c r="A1296" i="11"/>
  <c r="K1296" i="11"/>
  <c r="A1092" i="11"/>
  <c r="K1092" i="11"/>
  <c r="K922" i="11"/>
  <c r="A922" i="11"/>
  <c r="K1330" i="11"/>
  <c r="A1330" i="11"/>
  <c r="A1602" i="11"/>
  <c r="K1534" i="11"/>
  <c r="A888" i="11"/>
  <c r="K888" i="11"/>
  <c r="A1024" i="11"/>
  <c r="K1024" i="11"/>
  <c r="K1194" i="11"/>
  <c r="A1194" i="11"/>
  <c r="A1228" i="11"/>
  <c r="K1228" i="11"/>
  <c r="K1500" i="11"/>
  <c r="A1500" i="11"/>
  <c r="A956" i="11"/>
  <c r="K956" i="11"/>
  <c r="K1058" i="11"/>
  <c r="A1058" i="11"/>
  <c r="A1670" i="11"/>
  <c r="K1670" i="11"/>
  <c r="A1432" i="11"/>
  <c r="K1432" i="11"/>
  <c r="K72" i="11"/>
  <c r="K1636" i="11"/>
  <c r="A1636" i="11"/>
  <c r="A1466" i="11"/>
  <c r="K1466" i="11"/>
  <c r="K650" i="11"/>
  <c r="K786" i="11"/>
  <c r="A786" i="11"/>
  <c r="K718" i="11"/>
  <c r="A718" i="11"/>
  <c r="K276" i="11"/>
  <c r="K412" i="11"/>
  <c r="K684" i="11"/>
  <c r="K310" i="11"/>
  <c r="K35" i="11"/>
  <c r="D37" i="11"/>
  <c r="A37" i="11" s="1"/>
  <c r="K174" i="11"/>
  <c r="K140" i="11"/>
  <c r="K582" i="11"/>
  <c r="K34" i="11" l="1"/>
  <c r="D38" i="11"/>
  <c r="A34" i="11"/>
  <c r="S43" i="4"/>
  <c r="N43" i="4" s="1"/>
  <c r="S42" i="4"/>
  <c r="N42" i="4" s="1"/>
  <c r="S35" i="4"/>
  <c r="N35" i="4" s="1"/>
  <c r="S37" i="4"/>
  <c r="N37" i="4" s="1"/>
  <c r="S36" i="4"/>
  <c r="N36" i="4" s="1"/>
  <c r="S39" i="4"/>
  <c r="M33" i="4"/>
  <c r="M41" i="4"/>
  <c r="M38" i="4"/>
  <c r="M40" i="4"/>
  <c r="M34" i="4"/>
  <c r="M32" i="4"/>
  <c r="K37" i="11"/>
  <c r="K38" i="11" l="1"/>
  <c r="A38" i="11"/>
  <c r="Q38" i="4"/>
  <c r="Q43" i="4"/>
  <c r="Q37" i="4"/>
  <c r="Q36" i="4"/>
  <c r="N39" i="4"/>
  <c r="Q40" i="4"/>
  <c r="S32" i="4"/>
  <c r="Q33" i="4" s="1"/>
  <c r="S41" i="4"/>
  <c r="Q42" i="4" s="1"/>
  <c r="S34" i="4"/>
  <c r="Q35" i="4" s="1"/>
  <c r="S33" i="4"/>
  <c r="Q34" i="4" s="1"/>
  <c r="S40" i="4"/>
  <c r="Q41" i="4" s="1"/>
  <c r="S38" i="4"/>
  <c r="Q39" i="4" s="1"/>
  <c r="N32" i="4" l="1"/>
  <c r="N34" i="4"/>
  <c r="N40" i="4"/>
  <c r="N38" i="4"/>
  <c r="N33" i="4"/>
  <c r="N41" i="4"/>
  <c r="J62" i="3" l="1"/>
</calcChain>
</file>

<file path=xl/comments1.xml><?xml version="1.0" encoding="utf-8"?>
<comments xmlns="http://schemas.openxmlformats.org/spreadsheetml/2006/main">
  <authors>
    <author>Махмудов Рустам Аллахвердиевич</author>
  </authors>
  <commentList>
    <comment ref="I53" authorId="0" shapeId="0">
      <text>
        <r>
          <rPr>
            <b/>
            <sz val="8"/>
            <color indexed="81"/>
            <rFont val="Tahoma"/>
            <family val="2"/>
            <charset val="204"/>
          </rPr>
          <t>Дописать поселение и район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  <comment ref="I58" authorId="0" shapeId="0">
      <text>
        <r>
          <rPr>
            <b/>
            <sz val="8"/>
            <color indexed="81"/>
            <rFont val="Tahoma"/>
            <family val="2"/>
            <charset val="204"/>
          </rPr>
          <t>Должность специалиста, подготовившего расчет</t>
        </r>
      </text>
    </comment>
  </commentList>
</comments>
</file>

<file path=xl/comments2.xml><?xml version="1.0" encoding="utf-8"?>
<comments xmlns="http://schemas.openxmlformats.org/spreadsheetml/2006/main">
  <authors>
    <author>Махмудов Рустам Аллахвердиевич</author>
  </authors>
  <commentList>
    <comment ref="K1" authorId="0" shapeId="0">
      <text>
        <r>
          <rPr>
            <b/>
            <sz val="8"/>
            <color indexed="81"/>
            <rFont val="Tahoma"/>
            <family val="2"/>
            <charset val="204"/>
          </rPr>
          <t>Перед тем как послать на печать необходимо поставить фильтр на "1"</t>
        </r>
      </text>
    </comment>
  </commentList>
</comments>
</file>

<file path=xl/sharedStrings.xml><?xml version="1.0" encoding="utf-8"?>
<sst xmlns="http://schemas.openxmlformats.org/spreadsheetml/2006/main" count="2634" uniqueCount="364">
  <si>
    <t>м/з тип Б для вырав., т</t>
  </si>
  <si>
    <t>Цена победителя, руб.</t>
  </si>
  <si>
    <t>Отклонение от цены заказчика, %</t>
  </si>
  <si>
    <t>Доля тех.р в стоимости объекта, %</t>
  </si>
  <si>
    <t>Минеральный порошок</t>
  </si>
  <si>
    <t>Павловский</t>
  </si>
  <si>
    <r>
      <t xml:space="preserve">НДС </t>
    </r>
    <r>
      <rPr>
        <b/>
        <sz val="8"/>
        <color indexed="10"/>
        <rFont val="Times New Roman"/>
        <family val="1"/>
        <charset val="204"/>
      </rPr>
      <t>(монтажные)</t>
    </r>
    <r>
      <rPr>
        <b/>
        <sz val="8"/>
        <color indexed="8"/>
        <rFont val="Times New Roman"/>
        <family val="1"/>
        <charset val="204"/>
      </rPr>
      <t>, руб.</t>
    </r>
  </si>
  <si>
    <t>г.Сочи</t>
  </si>
  <si>
    <t>Стоимость материалов с учетом доставки до  места работ (франко-объект)</t>
  </si>
  <si>
    <t>Щебень фр. 10-20 мм М-600, м3</t>
  </si>
  <si>
    <t>Битум вязкий на розлив, т</t>
  </si>
  <si>
    <t>Щебень фр. 20-40 мм, м3</t>
  </si>
  <si>
    <t>Щебень фр. 5-20 мм, м3</t>
  </si>
  <si>
    <t>Щебень фр. 15-20 мм, м3</t>
  </si>
  <si>
    <t>Сметная прибыль</t>
  </si>
  <si>
    <t>Накладные расходы, руб.</t>
  </si>
  <si>
    <t>Перевозка рабочих, руб.</t>
  </si>
  <si>
    <t>Переходящий</t>
  </si>
  <si>
    <t>г.Геленджик</t>
  </si>
  <si>
    <t>Доля СП в стоимости объекта, %</t>
  </si>
  <si>
    <t>Тихорецкий</t>
  </si>
  <si>
    <t>Битум модифицированный, т</t>
  </si>
  <si>
    <t>Щебень фр. 5-10 мм</t>
  </si>
  <si>
    <t>Оборудование</t>
  </si>
  <si>
    <t>Щебень фр. 10-15 мм по ресурсному, м3</t>
  </si>
  <si>
    <t>Битум вязкий, т</t>
  </si>
  <si>
    <t>Крымский</t>
  </si>
  <si>
    <t>Староминский</t>
  </si>
  <si>
    <t>Туапсинский</t>
  </si>
  <si>
    <t>Успенский</t>
  </si>
  <si>
    <t>Год</t>
  </si>
  <si>
    <t>Значение инфляции</t>
  </si>
  <si>
    <t>Гулькевичский</t>
  </si>
  <si>
    <t>Курганинский</t>
  </si>
  <si>
    <r>
      <t>ЩМА-15 "</t>
    </r>
    <r>
      <rPr>
        <b/>
        <sz val="8"/>
        <color indexed="12"/>
        <rFont val="Times New Roman"/>
        <family val="1"/>
        <charset val="204"/>
      </rPr>
      <t>Duroflex</t>
    </r>
    <r>
      <rPr>
        <b/>
        <sz val="8"/>
        <color indexed="8"/>
        <rFont val="Times New Roman"/>
        <family val="1"/>
        <charset val="204"/>
      </rPr>
      <t>"</t>
    </r>
  </si>
  <si>
    <t>Щебень фр. 10-15 мм, м3</t>
  </si>
  <si>
    <t>Наименование</t>
  </si>
  <si>
    <t>Дата составления расчета</t>
  </si>
  <si>
    <t>Доля ФОТ в стоимости объекта, %</t>
  </si>
  <si>
    <t>Доля мат.ов в стоимости объекта, %</t>
  </si>
  <si>
    <t>г.Анапа</t>
  </si>
  <si>
    <t xml:space="preserve"> </t>
  </si>
  <si>
    <t>Кореновский</t>
  </si>
  <si>
    <t>Лабинский</t>
  </si>
  <si>
    <t>Выселковский</t>
  </si>
  <si>
    <t>ЩМА "Тopcel", т</t>
  </si>
  <si>
    <r>
      <t xml:space="preserve">Непредвиденные </t>
    </r>
    <r>
      <rPr>
        <b/>
        <sz val="8"/>
        <color indexed="10"/>
        <rFont val="Times New Roman"/>
        <family val="1"/>
        <charset val="204"/>
      </rPr>
      <t>(монтажные)</t>
    </r>
    <r>
      <rPr>
        <b/>
        <sz val="8"/>
        <color indexed="8"/>
        <rFont val="Times New Roman"/>
        <family val="1"/>
        <charset val="204"/>
      </rPr>
      <t>, руб.</t>
    </r>
  </si>
  <si>
    <t>Апшеронский</t>
  </si>
  <si>
    <t>Белореченский</t>
  </si>
  <si>
    <t>г.Горячий Ключ</t>
  </si>
  <si>
    <t>Мостовский</t>
  </si>
  <si>
    <t>Усть-Лабинский</t>
  </si>
  <si>
    <t>Щебень фр. 20-40 мм М-600, м3</t>
  </si>
  <si>
    <t>Славянский</t>
  </si>
  <si>
    <t>Динской</t>
  </si>
  <si>
    <t>Каневский</t>
  </si>
  <si>
    <t>Красноармейский</t>
  </si>
  <si>
    <t>Битум жидкий, т</t>
  </si>
  <si>
    <t>Стоимость эксплуатации машин и механизмов</t>
  </si>
  <si>
    <t>Накладные  расходы</t>
  </si>
  <si>
    <t>Приморско-Ахтарский</t>
  </si>
  <si>
    <r>
      <t xml:space="preserve">Мелкозернистая горячая плотная а/бетонная смесь </t>
    </r>
    <r>
      <rPr>
        <b/>
        <sz val="8"/>
        <color indexed="12"/>
        <rFont val="Times New Roman"/>
        <family val="1"/>
        <charset val="204"/>
      </rPr>
      <t>тип Б</t>
    </r>
  </si>
  <si>
    <t>Целлюлоза "Тopcel"</t>
  </si>
  <si>
    <t>Черный щебень</t>
  </si>
  <si>
    <r>
      <t xml:space="preserve">НДС </t>
    </r>
    <r>
      <rPr>
        <b/>
        <sz val="8"/>
        <color indexed="10"/>
        <rFont val="Times New Roman"/>
        <family val="1"/>
        <charset val="204"/>
      </rPr>
      <t>(оборудование)</t>
    </r>
    <r>
      <rPr>
        <b/>
        <sz val="8"/>
        <color indexed="8"/>
        <rFont val="Times New Roman"/>
        <family val="1"/>
        <charset val="204"/>
      </rPr>
      <t>, руб.</t>
    </r>
  </si>
  <si>
    <r>
      <t xml:space="preserve">НДС </t>
    </r>
    <r>
      <rPr>
        <b/>
        <sz val="8"/>
        <color indexed="10"/>
        <rFont val="Times New Roman"/>
        <family val="1"/>
        <charset val="204"/>
      </rPr>
      <t>(прочие)</t>
    </r>
    <r>
      <rPr>
        <b/>
        <sz val="8"/>
        <color indexed="8"/>
        <rFont val="Times New Roman"/>
        <family val="1"/>
        <charset val="204"/>
      </rPr>
      <t>, руб.</t>
    </r>
  </si>
  <si>
    <t>ВЗиС (монтажные), руб.</t>
  </si>
  <si>
    <t>Доля НР в стоимости объекта, %</t>
  </si>
  <si>
    <t>Фонд оплаты труда в составе прямых затрат</t>
  </si>
  <si>
    <t>Щебень фр. 40-70 мм, м3</t>
  </si>
  <si>
    <t>г.Новороссийск</t>
  </si>
  <si>
    <r>
      <t xml:space="preserve">Итого </t>
    </r>
    <r>
      <rPr>
        <b/>
        <sz val="8"/>
        <color indexed="10"/>
        <rFont val="Times New Roman"/>
        <family val="1"/>
        <charset val="204"/>
      </rPr>
      <t>(строительные)</t>
    </r>
    <r>
      <rPr>
        <b/>
        <sz val="8"/>
        <color indexed="8"/>
        <rFont val="Times New Roman"/>
        <family val="1"/>
        <charset val="204"/>
      </rPr>
      <t>, руб.</t>
    </r>
  </si>
  <si>
    <r>
      <t xml:space="preserve">Итого </t>
    </r>
    <r>
      <rPr>
        <b/>
        <sz val="8"/>
        <color indexed="10"/>
        <rFont val="Times New Roman"/>
        <family val="1"/>
        <charset val="204"/>
      </rPr>
      <t>(монтажные)</t>
    </r>
    <r>
      <rPr>
        <b/>
        <sz val="8"/>
        <color indexed="8"/>
        <rFont val="Times New Roman"/>
        <family val="1"/>
        <charset val="204"/>
      </rPr>
      <t>, руб.</t>
    </r>
  </si>
  <si>
    <r>
      <t xml:space="preserve">Итого </t>
    </r>
    <r>
      <rPr>
        <b/>
        <sz val="8"/>
        <color indexed="10"/>
        <rFont val="Times New Roman"/>
        <family val="1"/>
        <charset val="204"/>
      </rPr>
      <t>(оборудование)</t>
    </r>
    <r>
      <rPr>
        <b/>
        <sz val="8"/>
        <color indexed="8"/>
        <rFont val="Times New Roman"/>
        <family val="1"/>
        <charset val="204"/>
      </rPr>
      <t>, руб.</t>
    </r>
  </si>
  <si>
    <r>
      <t xml:space="preserve">Итого </t>
    </r>
    <r>
      <rPr>
        <b/>
        <sz val="8"/>
        <color indexed="10"/>
        <rFont val="Times New Roman"/>
        <family val="1"/>
        <charset val="204"/>
      </rPr>
      <t>(прочие)</t>
    </r>
    <r>
      <rPr>
        <b/>
        <sz val="8"/>
        <color indexed="8"/>
        <rFont val="Times New Roman"/>
        <family val="1"/>
        <charset val="204"/>
      </rPr>
      <t>, руб.</t>
    </r>
  </si>
  <si>
    <t>Итого по гл.1-7, руб.</t>
  </si>
  <si>
    <t>Район</t>
  </si>
  <si>
    <t>г.Армавир</t>
  </si>
  <si>
    <t>Щебень фр. 0-10 мм (отсев)</t>
  </si>
  <si>
    <t>Щебень фр. 10-15 мм</t>
  </si>
  <si>
    <t>Щебень фр. 15-20 мм</t>
  </si>
  <si>
    <t>Сметная прибыль, руб.</t>
  </si>
  <si>
    <t>Стоимость материалов с учетом доставки до места работ (франко-объект), руб.</t>
  </si>
  <si>
    <r>
      <t xml:space="preserve">Инфляция </t>
    </r>
    <r>
      <rPr>
        <b/>
        <sz val="8"/>
        <color indexed="10"/>
        <rFont val="Times New Roman"/>
        <family val="1"/>
        <charset val="204"/>
      </rPr>
      <t>(монтажные)</t>
    </r>
    <r>
      <rPr>
        <b/>
        <sz val="8"/>
        <color indexed="8"/>
        <rFont val="Times New Roman"/>
        <family val="1"/>
        <charset val="204"/>
      </rPr>
      <t>, руб.</t>
    </r>
  </si>
  <si>
    <r>
      <t xml:space="preserve">Инфляция </t>
    </r>
    <r>
      <rPr>
        <b/>
        <sz val="8"/>
        <color indexed="10"/>
        <rFont val="Times New Roman"/>
        <family val="1"/>
        <charset val="204"/>
      </rPr>
      <t>(строительные)</t>
    </r>
    <r>
      <rPr>
        <b/>
        <sz val="8"/>
        <color indexed="8"/>
        <rFont val="Times New Roman"/>
        <family val="1"/>
        <charset val="204"/>
      </rPr>
      <t>, руб.</t>
    </r>
  </si>
  <si>
    <t>Ленинградский</t>
  </si>
  <si>
    <t>Щебень фр. 15-20 мм по ресурсному, м3</t>
  </si>
  <si>
    <t>Белоглинский</t>
  </si>
  <si>
    <t>Ейский</t>
  </si>
  <si>
    <t>Щербиновский</t>
  </si>
  <si>
    <t>Эконом. Эффект, руб</t>
  </si>
  <si>
    <t>ВЗиС (строительные), руб.</t>
  </si>
  <si>
    <t>Отрадненский</t>
  </si>
  <si>
    <r>
      <t xml:space="preserve">Непредвиденные </t>
    </r>
    <r>
      <rPr>
        <b/>
        <sz val="8"/>
        <color indexed="10"/>
        <rFont val="Times New Roman"/>
        <family val="1"/>
        <charset val="204"/>
      </rPr>
      <t>(оборудование)</t>
    </r>
    <r>
      <rPr>
        <b/>
        <sz val="8"/>
        <color indexed="8"/>
        <rFont val="Times New Roman"/>
        <family val="1"/>
        <charset val="204"/>
      </rPr>
      <t>, руб.</t>
    </r>
  </si>
  <si>
    <t>Битум БН60/90(90/130)</t>
  </si>
  <si>
    <t>потребности на 1 т смеси</t>
  </si>
  <si>
    <t xml:space="preserve">Количество дней  </t>
  </si>
  <si>
    <t xml:space="preserve">Дата
</t>
  </si>
  <si>
    <t>Инфляция,%</t>
  </si>
  <si>
    <t>Песок, м3</t>
  </si>
  <si>
    <t>Целлюлоза "Тopcel", т</t>
  </si>
  <si>
    <t>Непредвиденные расходы</t>
  </si>
  <si>
    <r>
      <t xml:space="preserve">НДС </t>
    </r>
    <r>
      <rPr>
        <b/>
        <sz val="8"/>
        <color indexed="10"/>
        <rFont val="Times New Roman"/>
        <family val="1"/>
        <charset val="204"/>
      </rPr>
      <t>(строительные)</t>
    </r>
    <r>
      <rPr>
        <b/>
        <sz val="8"/>
        <color indexed="8"/>
        <rFont val="Times New Roman"/>
        <family val="1"/>
        <charset val="204"/>
      </rPr>
      <t>, руб.</t>
    </r>
  </si>
  <si>
    <t>ПГС, м3</t>
  </si>
  <si>
    <t>Песок</t>
  </si>
  <si>
    <t>Щебень фр. 5-20 мм М-600, м3</t>
  </si>
  <si>
    <t>Строительные работы, руб</t>
  </si>
  <si>
    <t>Монтажные работы, руб</t>
  </si>
  <si>
    <r>
      <t>ПНР</t>
    </r>
    <r>
      <rPr>
        <b/>
        <sz val="8"/>
        <color indexed="8"/>
        <rFont val="Times New Roman"/>
        <family val="1"/>
        <charset val="204"/>
      </rPr>
      <t xml:space="preserve"> (прочие в главе 9), руб.</t>
    </r>
  </si>
  <si>
    <t>Краснодарский край</t>
  </si>
  <si>
    <t>Оборудование, руб.</t>
  </si>
  <si>
    <t>№ п/п</t>
  </si>
  <si>
    <t>Технологическое присоединение, руб</t>
  </si>
  <si>
    <t>Щебень фр. 20-40 мм</t>
  </si>
  <si>
    <t>Щебень фр. 5-20 мм</t>
  </si>
  <si>
    <t>Щебень фр. 0-10 мм (отсев), м3</t>
  </si>
  <si>
    <r>
      <t xml:space="preserve">Инфляция </t>
    </r>
    <r>
      <rPr>
        <b/>
        <sz val="8"/>
        <color indexed="10"/>
        <rFont val="Times New Roman"/>
        <family val="1"/>
        <charset val="204"/>
      </rPr>
      <t>(оборудование)</t>
    </r>
    <r>
      <rPr>
        <b/>
        <sz val="8"/>
        <color indexed="8"/>
        <rFont val="Times New Roman"/>
        <family val="1"/>
        <charset val="204"/>
      </rPr>
      <t>, руб.</t>
    </r>
  </si>
  <si>
    <r>
      <t xml:space="preserve">Инфляция </t>
    </r>
    <r>
      <rPr>
        <b/>
        <sz val="8"/>
        <color indexed="10"/>
        <rFont val="Times New Roman"/>
        <family val="1"/>
        <charset val="204"/>
      </rPr>
      <t>(прочие)</t>
    </r>
    <r>
      <rPr>
        <b/>
        <sz val="8"/>
        <color indexed="8"/>
        <rFont val="Times New Roman"/>
        <family val="1"/>
        <charset val="204"/>
      </rPr>
      <t>, руб.</t>
    </r>
  </si>
  <si>
    <t>ЩМА "Duroflex", т</t>
  </si>
  <si>
    <t>Крыловский</t>
  </si>
  <si>
    <t>Строительные в главе 9, руб.</t>
  </si>
  <si>
    <r>
      <t xml:space="preserve">Непредвиденные </t>
    </r>
    <r>
      <rPr>
        <b/>
        <sz val="8"/>
        <color indexed="10"/>
        <rFont val="Times New Roman"/>
        <family val="1"/>
        <charset val="204"/>
      </rPr>
      <t>(прочие)</t>
    </r>
    <r>
      <rPr>
        <b/>
        <sz val="8"/>
        <color indexed="8"/>
        <rFont val="Times New Roman"/>
        <family val="1"/>
        <charset val="204"/>
      </rPr>
      <t>, руб.</t>
    </r>
  </si>
  <si>
    <t>Монтажные в главе 9, руб.</t>
  </si>
  <si>
    <t>Победитель конкурса</t>
  </si>
  <si>
    <t>Щебень фр. 5-20 мм по ресурсному, м3</t>
  </si>
  <si>
    <t>Калининский</t>
  </si>
  <si>
    <t>Битум БН 60/90(90/130)</t>
  </si>
  <si>
    <t>Новопокровский</t>
  </si>
  <si>
    <t>Новокубанский</t>
  </si>
  <si>
    <t>Темрюкский</t>
  </si>
  <si>
    <t>Северский</t>
  </si>
  <si>
    <t>Кущевский</t>
  </si>
  <si>
    <t>"Duroflex"</t>
  </si>
  <si>
    <t>"Duroflex", т</t>
  </si>
  <si>
    <t>Старые значения</t>
  </si>
  <si>
    <t>Строительно-монтажные работы, руб.</t>
  </si>
  <si>
    <t>Фонд оплаты труда, руб.</t>
  </si>
  <si>
    <t>г.Кропоткин</t>
  </si>
  <si>
    <t>потребительских цен для содержания</t>
  </si>
  <si>
    <t>Итого</t>
  </si>
  <si>
    <t>вид работ</t>
  </si>
  <si>
    <t>Восстановление оси (прочие по гл.1-7), руб.</t>
  </si>
  <si>
    <t>Итого расходы и затраты, руб.</t>
  </si>
  <si>
    <r>
      <t xml:space="preserve">Песчаная а/бетонная  смесь </t>
    </r>
    <r>
      <rPr>
        <b/>
        <sz val="8"/>
        <color indexed="12"/>
        <rFont val="Times New Roman"/>
        <family val="1"/>
        <charset val="204"/>
      </rPr>
      <t>тип В</t>
    </r>
  </si>
  <si>
    <r>
      <t>ЩМА-15 "</t>
    </r>
    <r>
      <rPr>
        <b/>
        <sz val="8"/>
        <color indexed="12"/>
        <rFont val="Times New Roman"/>
        <family val="1"/>
        <charset val="204"/>
      </rPr>
      <t>Тopcel</t>
    </r>
    <r>
      <rPr>
        <b/>
        <sz val="8"/>
        <color indexed="8"/>
        <rFont val="Times New Roman"/>
        <family val="1"/>
        <charset val="204"/>
      </rPr>
      <t>"</t>
    </r>
  </si>
  <si>
    <t>Вариант ремонта</t>
  </si>
  <si>
    <t>ПГС по ресурсному, м3</t>
  </si>
  <si>
    <t>м/з тип Б, т</t>
  </si>
  <si>
    <t>м/з тип В, т</t>
  </si>
  <si>
    <t>к/з, т</t>
  </si>
  <si>
    <t>ч/щ, т</t>
  </si>
  <si>
    <t>Щебень фр. 5-10 мм, м3</t>
  </si>
  <si>
    <t>Наименование объекта, привязка</t>
  </si>
  <si>
    <t>Щебень фр. 20-40 мм по ресурсному, м3</t>
  </si>
  <si>
    <t>Брюховецкий</t>
  </si>
  <si>
    <t>Тбилисский</t>
  </si>
  <si>
    <t>Прочие затраты</t>
  </si>
  <si>
    <r>
      <t xml:space="preserve">Непредвиденные </t>
    </r>
    <r>
      <rPr>
        <b/>
        <sz val="8"/>
        <color indexed="10"/>
        <rFont val="Times New Roman"/>
        <family val="1"/>
        <charset val="204"/>
      </rPr>
      <t>(строительные)</t>
    </r>
    <r>
      <rPr>
        <b/>
        <sz val="8"/>
        <color indexed="8"/>
        <rFont val="Times New Roman"/>
        <family val="1"/>
        <charset val="204"/>
      </rPr>
      <t>, руб.</t>
    </r>
  </si>
  <si>
    <t>г.Краснодар</t>
  </si>
  <si>
    <t>Абинский</t>
  </si>
  <si>
    <t>Стоимость эксплуатации машин и механизмов, руб.</t>
  </si>
  <si>
    <r>
      <t xml:space="preserve">Крупнозернистая  горячая  пористая  а/бетонная  смесь  </t>
    </r>
    <r>
      <rPr>
        <b/>
        <sz val="8"/>
        <color indexed="12"/>
        <rFont val="Times New Roman"/>
        <family val="1"/>
        <charset val="204"/>
      </rPr>
      <t>II марки</t>
    </r>
  </si>
  <si>
    <t xml:space="preserve">Протяженность, км </t>
  </si>
  <si>
    <t>Непредвиденные расходы и затраты, руб.</t>
  </si>
  <si>
    <t>Щебень фр. 10-20 мм, м3</t>
  </si>
  <si>
    <t>Кавказский</t>
  </si>
  <si>
    <t>Тимашевский</t>
  </si>
  <si>
    <t>Наименование затрат</t>
  </si>
  <si>
    <t>Значения</t>
  </si>
  <si>
    <t>Песок по ресурсному, м3</t>
  </si>
  <si>
    <t>Щебень фр. 0-10 мм (отсев) по ресурсному, м3</t>
  </si>
  <si>
    <t>Минеральный порошок, т</t>
  </si>
  <si>
    <t>Расчет уровня инфляции на 2013 год</t>
  </si>
  <si>
    <t>Расчет уровня инфляции на 2014 год</t>
  </si>
  <si>
    <t>Дефляторы уточненные</t>
  </si>
  <si>
    <t>Бетон, м3</t>
  </si>
  <si>
    <t>Арматура, т (сетки, каркасы, стержни)</t>
  </si>
  <si>
    <t>Щебень фракции 15-20 мм</t>
  </si>
  <si>
    <t>Щебень фракции 10-15 мм</t>
  </si>
  <si>
    <t>Щебень фракции 5-20 мм</t>
  </si>
  <si>
    <t>Щебень фракции 5-10 мм</t>
  </si>
  <si>
    <t xml:space="preserve">Щебень фракции 0-10 мм (отсев) </t>
  </si>
  <si>
    <t>Песок для строительных работ природный</t>
  </si>
  <si>
    <r>
      <t xml:space="preserve">Мелкозернистая горячая плотная а/бетонная смесь </t>
    </r>
    <r>
      <rPr>
        <b/>
        <sz val="8"/>
        <color indexed="12"/>
        <rFont val="Times New Roman"/>
        <family val="1"/>
        <charset val="204"/>
      </rPr>
      <t>тип Б выравнивающий</t>
    </r>
  </si>
  <si>
    <t>Расчет уровня инфляции на высокосный год</t>
  </si>
  <si>
    <r>
      <t xml:space="preserve">Песчаная а/бетонная  смесь </t>
    </r>
    <r>
      <rPr>
        <b/>
        <sz val="8"/>
        <color indexed="12"/>
        <rFont val="Times New Roman"/>
        <family val="1"/>
        <charset val="204"/>
      </rPr>
      <t xml:space="preserve">тип Г </t>
    </r>
  </si>
  <si>
    <t>ЩМА-15 "Duroflex"</t>
  </si>
  <si>
    <t>Для Назаренко уточнены  11.2012</t>
  </si>
  <si>
    <t>оценка</t>
  </si>
  <si>
    <t>прогноз</t>
  </si>
  <si>
    <t>от 11.2012</t>
  </si>
  <si>
    <t>от 10.2011</t>
  </si>
  <si>
    <t>Дефляторы уточненные, от 11.2012</t>
  </si>
  <si>
    <t>Инфляция 2015 года, руб.</t>
  </si>
  <si>
    <t>НДС 2015 года, руб.</t>
  </si>
  <si>
    <t>Конец срока фин-я работ в 2015 г (Месяц)</t>
  </si>
  <si>
    <t>Середина срока фин-я работ в 2015 г</t>
  </si>
  <si>
    <t>Инфл. 2015 г, %</t>
  </si>
  <si>
    <t>Финансирование в 2015 году</t>
  </si>
  <si>
    <t>Расчет уровня инфляции на 2015 год</t>
  </si>
  <si>
    <t>Содержание</t>
  </si>
  <si>
    <t>Уровень цен</t>
  </si>
  <si>
    <t>01.08.2013</t>
  </si>
  <si>
    <t>01.06.2013</t>
  </si>
  <si>
    <t>Реконструкция</t>
  </si>
  <si>
    <t>Освещение</t>
  </si>
  <si>
    <t>Обл. ремонт</t>
  </si>
  <si>
    <t>3кв. 2013</t>
  </si>
  <si>
    <t>4кв. 2012</t>
  </si>
  <si>
    <t>1кв. 2013</t>
  </si>
  <si>
    <t>Строительство</t>
  </si>
  <si>
    <t>2кв. 2013</t>
  </si>
  <si>
    <t>2кв. 2012</t>
  </si>
  <si>
    <t>1кв. 2012</t>
  </si>
  <si>
    <t>4кв. 2013</t>
  </si>
  <si>
    <t>Утверждаю</t>
  </si>
  <si>
    <t xml:space="preserve">                   м.п.</t>
  </si>
  <si>
    <t>Раздел 6. Обоснование начальной (максимальной) цены контракта (лота)</t>
  </si>
  <si>
    <t>Таблица. Расчет начальной (максимальной) цены контракта</t>
  </si>
  <si>
    <t>Раздел I. Сметная стоимость в текущих ценах</t>
  </si>
  <si>
    <t>Индексы-дефляторы Минэкономразвития РФ, применяемые к сметной стоимости</t>
  </si>
  <si>
    <t>Ед. изм.</t>
  </si>
  <si>
    <t>%</t>
  </si>
  <si>
    <t>Рост стоимости 2015 г.</t>
  </si>
  <si>
    <t>руб.</t>
  </si>
  <si>
    <t>Раздел III. Начальная (максимальная) цена</t>
  </si>
  <si>
    <t>Всего с НДС</t>
  </si>
  <si>
    <t>НДС 18%</t>
  </si>
  <si>
    <t>Используемый метод определения начальной (максимальной) цены контракта: проектно-сметный метод</t>
  </si>
  <si>
    <t>Обоснование выбранного метода определения начальной (максимальной) цены контракта: п.1 части 9 статьи 22 федерального закона от 05.04.2013 г. №44-ФЗ</t>
  </si>
  <si>
    <t>3кв. 2012</t>
  </si>
  <si>
    <t>Раздел II. Расчет прогнозного роста стоимости на период производства работ</t>
  </si>
  <si>
    <r>
      <t xml:space="preserve">Начальная цена заказчика </t>
    </r>
    <r>
      <rPr>
        <b/>
        <sz val="8"/>
        <color rgb="FFFF0000"/>
        <rFont val="Times New Roman"/>
        <family val="1"/>
        <charset val="204"/>
      </rPr>
      <t>ПСМ</t>
    </r>
    <r>
      <rPr>
        <b/>
        <sz val="8"/>
        <color indexed="8"/>
        <rFont val="Times New Roman"/>
        <family val="1"/>
        <charset val="204"/>
      </rPr>
      <t>, руб.</t>
    </r>
  </si>
  <si>
    <t>________________________ Г.Н. Рыжков</t>
  </si>
  <si>
    <r>
      <t xml:space="preserve">                                  </t>
    </r>
    <r>
      <rPr>
        <sz val="12"/>
        <color indexed="8"/>
        <rFont val="Times New Roman"/>
        <family val="1"/>
        <charset val="204"/>
      </rPr>
      <t>Белошкура А.А.</t>
    </r>
  </si>
  <si>
    <t>Используемый метод определения начальной (максимальной) цены контракта: Затратный метод</t>
  </si>
  <si>
    <t xml:space="preserve">Обоснование выбранного метода определения начальной (максимальной) цены контракта: часть 10 статьи 22 федерального закона от 05.04.2013 г. №44-ФЗ </t>
  </si>
  <si>
    <t>Ремонты</t>
  </si>
  <si>
    <t>Расчет уровня инфляции для РЕМОНТОВ</t>
  </si>
  <si>
    <t>Расчет уровня инфляции для СОДЕРЖАНИЯ</t>
  </si>
  <si>
    <t>Индексы потребительских цен Минэкономразвития РФ, применяемые к сметной стоимости</t>
  </si>
  <si>
    <t>Итого без НДС</t>
  </si>
  <si>
    <t>ctrl+й</t>
  </si>
  <si>
    <t>Приложение №1</t>
  </si>
  <si>
    <t>Приложение №2</t>
  </si>
  <si>
    <t>Приложение №3</t>
  </si>
  <si>
    <t>Приложение №4</t>
  </si>
  <si>
    <t>Приложение №5</t>
  </si>
  <si>
    <t>Приложение №6</t>
  </si>
  <si>
    <t>Приложение №7</t>
  </si>
  <si>
    <t>Приложение №8</t>
  </si>
  <si>
    <t>Приложение №9</t>
  </si>
  <si>
    <t>Приложение №10</t>
  </si>
  <si>
    <t>Приложение №11</t>
  </si>
  <si>
    <t>Приложение №12</t>
  </si>
  <si>
    <t>Приложение №13</t>
  </si>
  <si>
    <t>Приложение №14</t>
  </si>
  <si>
    <t>Приложение №15</t>
  </si>
  <si>
    <t>Приложение №16</t>
  </si>
  <si>
    <t>Приложение №17</t>
  </si>
  <si>
    <t>Приложение №18</t>
  </si>
  <si>
    <t>Приложение №19</t>
  </si>
  <si>
    <t>Приложение №20</t>
  </si>
  <si>
    <t>Приложение №21</t>
  </si>
  <si>
    <t>Приложение №22</t>
  </si>
  <si>
    <t>Приложение №23</t>
  </si>
  <si>
    <t>Приложение №24</t>
  </si>
  <si>
    <t>Содержание ТР</t>
  </si>
  <si>
    <t>Безопасность по содержанию (барьерка)</t>
  </si>
  <si>
    <t>Труба</t>
  </si>
  <si>
    <t>АП</t>
  </si>
  <si>
    <t>Ремонт</t>
  </si>
  <si>
    <t>Безопасность по ремонтам</t>
  </si>
  <si>
    <t>ИС прочие</t>
  </si>
  <si>
    <t>Всего с НДС на 2015 г.</t>
  </si>
  <si>
    <t>Итого стоимость работ с учетом срока производства работ на 2015 г.</t>
  </si>
  <si>
    <t>&lt;&gt;#Н/Д</t>
  </si>
  <si>
    <t>Деф швы</t>
  </si>
  <si>
    <t>Все остальное</t>
  </si>
  <si>
    <t>1кв. 2014</t>
  </si>
  <si>
    <t>2кв. 2014</t>
  </si>
  <si>
    <t>01.07.2013</t>
  </si>
  <si>
    <t>01.02.2013</t>
  </si>
  <si>
    <t>01.03.2013</t>
  </si>
  <si>
    <t>01.04.2013</t>
  </si>
  <si>
    <t>01.05.2013</t>
  </si>
  <si>
    <t>01.09.2013</t>
  </si>
  <si>
    <t>01.10.2013</t>
  </si>
  <si>
    <t>01.11.2013</t>
  </si>
  <si>
    <t>01.12.2013</t>
  </si>
  <si>
    <t>3кв. 2014</t>
  </si>
  <si>
    <t>4кв. 2014</t>
  </si>
  <si>
    <t>Кап. ремонт (АВ)</t>
  </si>
  <si>
    <t>Кап. ремонт</t>
  </si>
  <si>
    <t>Стоимость термопластика, руб без НДС</t>
  </si>
  <si>
    <t>Стоимость холодного пластика, руб без НДС</t>
  </si>
  <si>
    <t>3кв. 2011</t>
  </si>
  <si>
    <t>01.08.2012</t>
  </si>
  <si>
    <t>1кв. 2011</t>
  </si>
  <si>
    <t>Ремонт моста</t>
  </si>
  <si>
    <t>Обоснование выбранного метода определения начальной (максимальной) цены контракта: часть 9.1 статьи 22 федерального закона от 05.04.2013 г. №44-ФЗ</t>
  </si>
  <si>
    <t>Реконструкция моста</t>
  </si>
  <si>
    <t>Строительство моста</t>
  </si>
  <si>
    <t>Приложение №25</t>
  </si>
  <si>
    <t>Приложение №26</t>
  </si>
  <si>
    <t>Приложение №27</t>
  </si>
  <si>
    <t>Приложение №28</t>
  </si>
  <si>
    <t>Приложение №29</t>
  </si>
  <si>
    <t>Приложение №30</t>
  </si>
  <si>
    <t>Приложение №31</t>
  </si>
  <si>
    <t>Приложение №32</t>
  </si>
  <si>
    <t>Приложение №33</t>
  </si>
  <si>
    <t>Приложение №34</t>
  </si>
  <si>
    <t>Приложение №35</t>
  </si>
  <si>
    <t>Приложение №36</t>
  </si>
  <si>
    <t>Приложение №37</t>
  </si>
  <si>
    <t>Приложение №38</t>
  </si>
  <si>
    <t>Приложение №39</t>
  </si>
  <si>
    <t>Приложение №40</t>
  </si>
  <si>
    <t>Приложение №41</t>
  </si>
  <si>
    <t>Приложение №42</t>
  </si>
  <si>
    <t>Приложение №43</t>
  </si>
  <si>
    <t>Приложение №44</t>
  </si>
  <si>
    <t>Приложение №45</t>
  </si>
  <si>
    <t>Приложение №46</t>
  </si>
  <si>
    <t>Приложение №47</t>
  </si>
  <si>
    <t>Приложение №48</t>
  </si>
  <si>
    <t>Заместитель министра строительства,</t>
  </si>
  <si>
    <t xml:space="preserve">архитектуры и дорожного хозяйства </t>
  </si>
  <si>
    <t>Краснодарского края</t>
  </si>
  <si>
    <t>Начальник отдела формирования начальной
максимальной цены контракта управления
контрактной службы</t>
  </si>
  <si>
    <t>01.08.2014</t>
  </si>
  <si>
    <t>Инфляция до 2015г</t>
  </si>
  <si>
    <t>Начало срока фин-я работ в 2015г (Месяц)</t>
  </si>
  <si>
    <t>Начало срока фин-я работ в 2016 г (Месяц)</t>
  </si>
  <si>
    <t>Конец срока фин-я работ в 2016 г (Месяц)</t>
  </si>
  <si>
    <t>Середина срока фин-я работ в 2016 г</t>
  </si>
  <si>
    <t>инфляция на 2015г</t>
  </si>
  <si>
    <t>Кап. ремонт моста</t>
  </si>
  <si>
    <t>Кап. ремонт (освещение)</t>
  </si>
  <si>
    <t>Итого на 2015 г (строительные), руб.</t>
  </si>
  <si>
    <t>Итого на 2015 г (монтажные), руб.</t>
  </si>
  <si>
    <t>Итого на 2015 г (оборудование), руб.</t>
  </si>
  <si>
    <t>Итого на 2015 г (прочие), руб.</t>
  </si>
  <si>
    <t>Итого на 2015 г расходы и затраты, руб.</t>
  </si>
  <si>
    <t>Инфляция 2016 года, руб.</t>
  </si>
  <si>
    <t>НДС 2016 года, руб.</t>
  </si>
  <si>
    <t>Финансирование в 2016 году</t>
  </si>
  <si>
    <t>Инфл. 2016 г, %</t>
  </si>
  <si>
    <t>Итого стоимость работ с учетом срока производства работ на 2016 г.</t>
  </si>
  <si>
    <t>Всего с НДС на 2016 г.</t>
  </si>
  <si>
    <t>Рост стоимости 2016 г.</t>
  </si>
  <si>
    <t>Стоимость 1 км, руб</t>
  </si>
  <si>
    <t xml:space="preserve">Стоимость расчета индекса ГКУ КК "УЦС" с НДС, руб </t>
  </si>
  <si>
    <t>! Значения ставить без запятых</t>
  </si>
  <si>
    <t>25.02.2015г</t>
  </si>
  <si>
    <t>Начальник финансового отдела</t>
  </si>
  <si>
    <t>Ремонт ул.Мира от ПК0+00 (дом №16) до ПК0+72 в х.Галицын</t>
  </si>
  <si>
    <t>Ремонт ул.Северной от ПК0+00 (дом №34А) до ПК2+50 в х.Беликов</t>
  </si>
  <si>
    <t>Ремонт ул.Набережной от ПК0+00 (дом №30Б) до ПК2+90 в х.Красноармейский Городок</t>
  </si>
  <si>
    <t>Реализация мероприятий подпрограммы "Капитальный ремонт и ремонт автомобильных дорог местного значения Краснодарского края" государственной программы Краснодарского края «Комплексное и устойчивое развитие Краснодарского края в сфере строительства, архитектуры и дорожного хозяйства» в Кировском сельском поселении Славянского района</t>
  </si>
  <si>
    <t>Глава Кировского сельского поселения Славянского района</t>
  </si>
  <si>
    <t>Е.В.Леонов</t>
  </si>
  <si>
    <t>А.Ю.Кашуба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</si>
</sst>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5">
    <numFmt numFmtId="164" formatCode="0.0%"/>
    <numFmt numFmtId="165" formatCode="0.000%"/>
    <numFmt numFmtId="166" formatCode="0.0"/>
    <numFmt numFmtId="167" formatCode="0.00000%"/>
    <numFmt numFmtId="168" formatCode="0.000"/>
    <numFmt numFmtId="169" formatCode="yyyy/mm/dd"/>
    <numFmt numFmtId="170" formatCode="0.000000"/>
    <numFmt numFmtId="171" formatCode="#,##0.00000"/>
    <numFmt numFmtId="172" formatCode="0.00000000000%"/>
    <numFmt numFmtId="173" formatCode="[$-F800]dddd\,\ mmmm\ dd\,\ yyyy"/>
    <numFmt numFmtId="174" formatCode="0.000000%"/>
    <numFmt numFmtId="175" formatCode="0.0000000000"/>
    <numFmt numFmtId="176" formatCode="0.00000000000"/>
    <numFmt numFmtId="177" formatCode="0.000000000"/>
    <numFmt numFmtId="178" formatCode="0.000000000000"/>
  </numFmts>
  <fonts count="47" x14ac:knownFonts="1">
    <font>
      <sz val="10"/>
      <color indexed="8"/>
      <name val="MS Sans Serif"/>
      <charset val="204"/>
    </font>
    <font>
      <sz val="8"/>
      <color indexed="8"/>
      <name val="MS Sans Serif"/>
      <family val="2"/>
      <charset val="204"/>
    </font>
    <font>
      <b/>
      <sz val="12"/>
      <name val="Times New Roman"/>
      <family val="1"/>
    </font>
    <font>
      <sz val="10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8"/>
      <color indexed="10"/>
      <name val="Times New Roman"/>
      <family val="1"/>
      <charset val="204"/>
    </font>
    <font>
      <b/>
      <sz val="8"/>
      <color indexed="56"/>
      <name val="Times New Roman"/>
      <family val="1"/>
      <charset val="204"/>
    </font>
    <font>
      <b/>
      <sz val="8"/>
      <color indexed="12"/>
      <name val="Times New Roman"/>
      <family val="1"/>
      <charset val="204"/>
    </font>
    <font>
      <sz val="8"/>
      <color indexed="10"/>
      <name val="Times New Roman"/>
      <family val="1"/>
      <charset val="204"/>
    </font>
    <font>
      <sz val="8"/>
      <color indexed="12"/>
      <name val="Times New Roman"/>
      <family val="1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MS Sans Serif"/>
      <family val="2"/>
      <charset val="204"/>
    </font>
    <font>
      <sz val="8"/>
      <color rgb="FFFF0000"/>
      <name val="Times New Roman"/>
      <family val="1"/>
      <charset val="204"/>
    </font>
    <font>
      <sz val="12"/>
      <color indexed="9"/>
      <name val="Times New Roman"/>
      <family val="1"/>
      <charset val="204"/>
    </font>
    <font>
      <b/>
      <sz val="2"/>
      <color indexed="8"/>
      <name val="Times New Roman"/>
      <family val="1"/>
      <charset val="204"/>
    </font>
    <font>
      <sz val="2"/>
      <color indexed="8"/>
      <name val="Times New Roman"/>
      <family val="1"/>
      <charset val="204"/>
    </font>
    <font>
      <b/>
      <sz val="2"/>
      <color indexed="9"/>
      <name val="Times New Roman"/>
      <family val="1"/>
      <charset val="204"/>
    </font>
    <font>
      <sz val="8"/>
      <color theme="0" tint="-0.34998626667073579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u/>
      <sz val="2"/>
      <color indexed="8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sz val="1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0"/>
      <color rgb="FFFF0000"/>
      <name val="Times New Roman"/>
      <family val="1"/>
    </font>
    <font>
      <b/>
      <sz val="10"/>
      <color indexed="8"/>
      <name val="Times New Roman"/>
      <family val="1"/>
      <charset val="204"/>
    </font>
    <font>
      <sz val="8"/>
      <color indexed="81"/>
      <name val="Tahoma"/>
      <family val="2"/>
      <charset val="204"/>
    </font>
    <font>
      <b/>
      <sz val="8"/>
      <color indexed="81"/>
      <name val="Tahoma"/>
      <family val="2"/>
      <charset val="204"/>
    </font>
  </fonts>
  <fills count="2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99"/>
        <bgColor indexed="8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23"/>
      </left>
      <right style="hair">
        <color indexed="64"/>
      </right>
      <top style="hair">
        <color indexed="23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23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41" fillId="0" borderId="0"/>
  </cellStyleXfs>
  <cellXfs count="477">
    <xf numFmtId="0" fontId="0" fillId="0" borderId="0" xfId="0"/>
    <xf numFmtId="14" fontId="2" fillId="0" borderId="0" xfId="1" applyNumberFormat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center"/>
    </xf>
    <xf numFmtId="164" fontId="5" fillId="0" borderId="0" xfId="1" applyNumberFormat="1" applyFont="1" applyFill="1" applyAlignment="1">
      <alignment horizontal="center"/>
    </xf>
    <xf numFmtId="0" fontId="5" fillId="0" borderId="0" xfId="1" applyFont="1" applyFill="1"/>
    <xf numFmtId="0" fontId="4" fillId="0" borderId="1" xfId="1" applyFont="1" applyFill="1" applyBorder="1" applyAlignment="1">
      <alignment horizontal="center" vertical="justify"/>
    </xf>
    <xf numFmtId="14" fontId="4" fillId="0" borderId="1" xfId="1" applyNumberFormat="1" applyFont="1" applyFill="1" applyBorder="1" applyAlignment="1">
      <alignment horizontal="center" vertical="justify" wrapText="1"/>
    </xf>
    <xf numFmtId="164" fontId="4" fillId="0" borderId="1" xfId="1" applyNumberFormat="1" applyFont="1" applyFill="1" applyBorder="1" applyAlignment="1">
      <alignment horizontal="center" vertical="justify"/>
    </xf>
    <xf numFmtId="0" fontId="4" fillId="0" borderId="0" xfId="1" applyFont="1" applyFill="1" applyAlignment="1">
      <alignment vertical="justify"/>
    </xf>
    <xf numFmtId="0" fontId="4" fillId="0" borderId="2" xfId="1" applyFont="1" applyFill="1" applyBorder="1" applyAlignment="1">
      <alignment horizontal="center" vertical="justify"/>
    </xf>
    <xf numFmtId="14" fontId="4" fillId="0" borderId="2" xfId="1" applyNumberFormat="1" applyFont="1" applyFill="1" applyBorder="1" applyAlignment="1">
      <alignment horizontal="center" vertical="justify" wrapText="1"/>
    </xf>
    <xf numFmtId="0" fontId="5" fillId="0" borderId="3" xfId="1" applyFont="1" applyFill="1" applyBorder="1" applyAlignment="1">
      <alignment horizontal="center"/>
    </xf>
    <xf numFmtId="14" fontId="5" fillId="0" borderId="3" xfId="1" applyNumberFormat="1" applyFont="1" applyFill="1" applyBorder="1" applyAlignment="1">
      <alignment horizontal="center" vertical="justify"/>
    </xf>
    <xf numFmtId="10" fontId="5" fillId="0" borderId="3" xfId="2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10" fontId="5" fillId="0" borderId="4" xfId="2" applyNumberFormat="1" applyFont="1" applyFill="1" applyBorder="1" applyAlignment="1">
      <alignment horizontal="center"/>
    </xf>
    <xf numFmtId="14" fontId="5" fillId="0" borderId="0" xfId="1" applyNumberFormat="1" applyFont="1" applyFill="1" applyAlignment="1">
      <alignment horizont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8" fillId="0" borderId="6" xfId="0" applyFont="1" applyFill="1" applyBorder="1" applyAlignment="1">
      <alignment horizontal="center" vertical="center" wrapText="1"/>
    </xf>
    <xf numFmtId="3" fontId="10" fillId="0" borderId="6" xfId="0" applyNumberFormat="1" applyFont="1" applyFill="1" applyBorder="1" applyAlignment="1">
      <alignment horizontal="right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10" fontId="10" fillId="0" borderId="6" xfId="2" applyNumberFormat="1" applyFont="1" applyFill="1" applyBorder="1" applyAlignment="1">
      <alignment horizontal="right" vertical="center"/>
    </xf>
    <xf numFmtId="0" fontId="8" fillId="3" borderId="6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4" fillId="0" borderId="6" xfId="1" applyFont="1" applyFill="1" applyBorder="1" applyAlignment="1" applyProtection="1">
      <alignment horizontal="center" vertical="justify"/>
      <protection hidden="1"/>
    </xf>
    <xf numFmtId="0" fontId="5" fillId="0" borderId="1" xfId="1" applyNumberFormat="1" applyFont="1" applyFill="1" applyBorder="1" applyAlignment="1" applyProtection="1">
      <alignment horizontal="center"/>
      <protection hidden="1"/>
    </xf>
    <xf numFmtId="10" fontId="5" fillId="0" borderId="1" xfId="1" applyNumberFormat="1" applyFont="1" applyFill="1" applyBorder="1" applyAlignment="1" applyProtection="1">
      <alignment horizontal="center"/>
      <protection hidden="1"/>
    </xf>
    <xf numFmtId="0" fontId="5" fillId="0" borderId="4" xfId="1" applyNumberFormat="1" applyFont="1" applyFill="1" applyBorder="1" applyAlignment="1" applyProtection="1">
      <alignment horizontal="center"/>
      <protection hidden="1"/>
    </xf>
    <xf numFmtId="10" fontId="5" fillId="0" borderId="4" xfId="1" applyNumberFormat="1" applyFont="1" applyFill="1" applyBorder="1" applyAlignment="1" applyProtection="1">
      <alignment horizontal="center"/>
      <protection hidden="1"/>
    </xf>
    <xf numFmtId="0" fontId="5" fillId="0" borderId="2" xfId="1" applyNumberFormat="1" applyFont="1" applyFill="1" applyBorder="1" applyAlignment="1" applyProtection="1">
      <alignment horizontal="center"/>
      <protection hidden="1"/>
    </xf>
    <xf numFmtId="0" fontId="8" fillId="6" borderId="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4" fillId="0" borderId="0" xfId="0" applyFont="1"/>
    <xf numFmtId="0" fontId="11" fillId="0" borderId="0" xfId="0" applyFont="1" applyFill="1" applyBorder="1" applyAlignment="1">
      <alignment horizontal="left" vertical="center"/>
    </xf>
    <xf numFmtId="166" fontId="4" fillId="0" borderId="2" xfId="1" applyNumberFormat="1" applyFont="1" applyFill="1" applyBorder="1" applyAlignment="1">
      <alignment horizontal="center" vertical="justify"/>
    </xf>
    <xf numFmtId="10" fontId="5" fillId="0" borderId="2" xfId="1" applyNumberFormat="1" applyFont="1" applyFill="1" applyBorder="1" applyAlignment="1" applyProtection="1">
      <alignment horizontal="center"/>
      <protection hidden="1"/>
    </xf>
    <xf numFmtId="0" fontId="14" fillId="0" borderId="0" xfId="0" applyFont="1" applyAlignment="1">
      <alignment vertical="center"/>
    </xf>
    <xf numFmtId="0" fontId="8" fillId="8" borderId="11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10" fontId="5" fillId="0" borderId="0" xfId="1" applyNumberFormat="1" applyFont="1" applyFill="1"/>
    <xf numFmtId="0" fontId="11" fillId="7" borderId="5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 wrapText="1"/>
    </xf>
    <xf numFmtId="0" fontId="4" fillId="5" borderId="0" xfId="1" applyFont="1" applyFill="1" applyAlignment="1">
      <alignment vertical="justify"/>
    </xf>
    <xf numFmtId="0" fontId="4" fillId="5" borderId="0" xfId="1" applyFont="1" applyFill="1" applyAlignment="1">
      <alignment vertical="center"/>
    </xf>
    <xf numFmtId="14" fontId="5" fillId="7" borderId="3" xfId="1" applyNumberFormat="1" applyFont="1" applyFill="1" applyBorder="1" applyAlignment="1">
      <alignment horizontal="center" vertical="justify"/>
    </xf>
    <xf numFmtId="10" fontId="5" fillId="7" borderId="4" xfId="2" applyNumberFormat="1" applyFont="1" applyFill="1" applyBorder="1" applyAlignment="1">
      <alignment horizontal="center"/>
    </xf>
    <xf numFmtId="0" fontId="5" fillId="7" borderId="4" xfId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top"/>
    </xf>
    <xf numFmtId="14" fontId="18" fillId="0" borderId="12" xfId="0" applyNumberFormat="1" applyFont="1" applyFill="1" applyBorder="1" applyAlignment="1">
      <alignment horizontal="left"/>
    </xf>
    <xf numFmtId="14" fontId="18" fillId="0" borderId="0" xfId="0" applyNumberFormat="1" applyFont="1" applyFill="1" applyBorder="1" applyAlignment="1">
      <alignment horizontal="left"/>
    </xf>
    <xf numFmtId="0" fontId="12" fillId="0" borderId="13" xfId="0" applyFont="1" applyFill="1" applyBorder="1" applyAlignment="1">
      <alignment horizontal="center" vertical="top" wrapText="1"/>
    </xf>
    <xf numFmtId="10" fontId="12" fillId="0" borderId="13" xfId="2" applyNumberFormat="1" applyFont="1" applyFill="1" applyBorder="1"/>
    <xf numFmtId="9" fontId="10" fillId="0" borderId="13" xfId="0" applyNumberFormat="1" applyFont="1" applyFill="1" applyBorder="1"/>
    <xf numFmtId="9" fontId="12" fillId="0" borderId="13" xfId="2" applyNumberFormat="1" applyFont="1" applyFill="1" applyBorder="1"/>
    <xf numFmtId="165" fontId="12" fillId="0" borderId="13" xfId="2" applyNumberFormat="1" applyFont="1" applyFill="1" applyBorder="1"/>
    <xf numFmtId="0" fontId="15" fillId="0" borderId="13" xfId="0" applyFont="1" applyFill="1" applyBorder="1" applyAlignment="1">
      <alignment horizontal="center" vertical="top" wrapText="1"/>
    </xf>
    <xf numFmtId="0" fontId="12" fillId="0" borderId="0" xfId="0" applyFont="1" applyFill="1" applyBorder="1" applyAlignment="1">
      <alignment horizontal="center" vertical="top" wrapText="1"/>
    </xf>
    <xf numFmtId="10" fontId="10" fillId="0" borderId="13" xfId="0" applyNumberFormat="1" applyFont="1" applyFill="1" applyBorder="1"/>
    <xf numFmtId="0" fontId="13" fillId="0" borderId="0" xfId="0" applyFont="1" applyBorder="1"/>
    <xf numFmtId="0" fontId="13" fillId="0" borderId="0" xfId="0" applyFont="1" applyAlignment="1">
      <alignment vertical="center"/>
    </xf>
    <xf numFmtId="4" fontId="10" fillId="0" borderId="5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3" fontId="10" fillId="7" borderId="5" xfId="0" applyNumberFormat="1" applyFont="1" applyFill="1" applyBorder="1" applyAlignment="1">
      <alignment horizontal="right" vertical="center"/>
    </xf>
    <xf numFmtId="3" fontId="16" fillId="0" borderId="5" xfId="0" applyNumberFormat="1" applyFont="1" applyFill="1" applyBorder="1" applyAlignment="1">
      <alignment horizontal="right" vertical="center"/>
    </xf>
    <xf numFmtId="14" fontId="11" fillId="0" borderId="5" xfId="0" applyNumberFormat="1" applyFont="1" applyFill="1" applyBorder="1" applyAlignment="1">
      <alignment horizontal="right" vertical="center"/>
    </xf>
    <xf numFmtId="10" fontId="11" fillId="0" borderId="5" xfId="0" applyNumberFormat="1" applyFont="1" applyFill="1" applyBorder="1" applyAlignment="1">
      <alignment horizontal="right" vertical="center"/>
    </xf>
    <xf numFmtId="3" fontId="11" fillId="0" borderId="5" xfId="0" applyNumberFormat="1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10" fontId="10" fillId="0" borderId="5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0" fontId="10" fillId="0" borderId="5" xfId="0" applyNumberFormat="1" applyFont="1" applyFill="1" applyBorder="1" applyAlignment="1">
      <alignment vertical="center"/>
    </xf>
    <xf numFmtId="4" fontId="16" fillId="7" borderId="5" xfId="0" applyNumberFormat="1" applyFont="1" applyFill="1" applyBorder="1" applyAlignment="1">
      <alignment horizontal="right" vertical="center"/>
    </xf>
    <xf numFmtId="10" fontId="16" fillId="0" borderId="5" xfId="0" applyNumberFormat="1" applyFont="1" applyFill="1" applyBorder="1" applyAlignment="1">
      <alignment horizontal="right" vertical="center"/>
    </xf>
    <xf numFmtId="3" fontId="16" fillId="0" borderId="14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169" fontId="19" fillId="0" borderId="0" xfId="0" applyNumberFormat="1" applyFont="1" applyFill="1" applyBorder="1" applyAlignment="1">
      <alignment horizontal="left" vertical="center"/>
    </xf>
    <xf numFmtId="169" fontId="10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Fill="1" applyBorder="1" applyAlignment="1">
      <alignment horizontal="left" vertical="center" wrapText="1"/>
    </xf>
    <xf numFmtId="3" fontId="10" fillId="0" borderId="0" xfId="0" applyNumberFormat="1" applyFont="1" applyFill="1" applyBorder="1" applyAlignment="1">
      <alignment horizontal="right" vertical="center"/>
    </xf>
    <xf numFmtId="4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6" fillId="0" borderId="0" xfId="0" applyNumberFormat="1" applyFont="1" applyFill="1" applyBorder="1" applyAlignment="1">
      <alignment horizontal="right" vertical="center"/>
    </xf>
    <xf numFmtId="0" fontId="11" fillId="0" borderId="0" xfId="0" applyFont="1" applyAlignment="1">
      <alignment vertical="center"/>
    </xf>
    <xf numFmtId="14" fontId="11" fillId="0" borderId="0" xfId="0" applyNumberFormat="1" applyFont="1" applyFill="1" applyBorder="1" applyAlignment="1">
      <alignment horizontal="right" vertical="center"/>
    </xf>
    <xf numFmtId="10" fontId="11" fillId="0" borderId="0" xfId="0" applyNumberFormat="1" applyFont="1" applyFill="1" applyBorder="1" applyAlignment="1">
      <alignment horizontal="right" vertical="center"/>
    </xf>
    <xf numFmtId="168" fontId="11" fillId="0" borderId="0" xfId="0" applyNumberFormat="1" applyFont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1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20" fillId="0" borderId="0" xfId="0" applyFont="1" applyProtection="1">
      <protection hidden="1"/>
    </xf>
    <xf numFmtId="167" fontId="10" fillId="0" borderId="0" xfId="2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171" fontId="16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1" fillId="0" borderId="0" xfId="0" applyFont="1" applyAlignment="1">
      <alignment horizontal="left" vertical="center"/>
    </xf>
    <xf numFmtId="2" fontId="12" fillId="0" borderId="0" xfId="0" applyNumberFormat="1" applyFont="1" applyFill="1" applyAlignment="1">
      <alignment horizontal="right" vertical="center"/>
    </xf>
    <xf numFmtId="3" fontId="11" fillId="0" borderId="0" xfId="0" applyNumberFormat="1" applyFont="1" applyAlignment="1">
      <alignment vertical="center"/>
    </xf>
    <xf numFmtId="0" fontId="13" fillId="0" borderId="0" xfId="0" applyFont="1"/>
    <xf numFmtId="170" fontId="12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9" fontId="10" fillId="0" borderId="0" xfId="0" applyNumberFormat="1" applyFont="1" applyAlignment="1">
      <alignment vertical="center"/>
    </xf>
    <xf numFmtId="3" fontId="8" fillId="0" borderId="0" xfId="0" applyNumberFormat="1" applyFont="1" applyAlignment="1">
      <alignment vertical="center"/>
    </xf>
    <xf numFmtId="0" fontId="8" fillId="0" borderId="6" xfId="0" applyFont="1" applyFill="1" applyBorder="1" applyAlignment="1">
      <alignment horizontal="left" vertical="center"/>
    </xf>
    <xf numFmtId="3" fontId="12" fillId="0" borderId="6" xfId="0" applyNumberFormat="1" applyFont="1" applyFill="1" applyBorder="1" applyAlignment="1">
      <alignment horizontal="right" vertical="center"/>
    </xf>
    <xf numFmtId="3" fontId="16" fillId="0" borderId="6" xfId="0" applyNumberFormat="1" applyFont="1" applyFill="1" applyBorder="1" applyAlignment="1">
      <alignment horizontal="right" vertical="center"/>
    </xf>
    <xf numFmtId="14" fontId="11" fillId="0" borderId="6" xfId="0" applyNumberFormat="1" applyFont="1" applyFill="1" applyBorder="1" applyAlignment="1">
      <alignment horizontal="right" vertical="center"/>
    </xf>
    <xf numFmtId="0" fontId="11" fillId="0" borderId="6" xfId="0" applyFont="1" applyBorder="1" applyAlignment="1">
      <alignment vertical="center"/>
    </xf>
    <xf numFmtId="10" fontId="11" fillId="0" borderId="6" xfId="0" applyNumberFormat="1" applyFont="1" applyFill="1" applyBorder="1" applyAlignment="1">
      <alignment horizontal="right" vertical="center"/>
    </xf>
    <xf numFmtId="4" fontId="16" fillId="0" borderId="6" xfId="0" applyNumberFormat="1" applyFont="1" applyFill="1" applyBorder="1" applyAlignment="1">
      <alignment horizontal="right" vertical="center"/>
    </xf>
    <xf numFmtId="10" fontId="16" fillId="0" borderId="6" xfId="0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Fill="1" applyAlignment="1">
      <alignment horizontal="left" vertical="justify"/>
    </xf>
    <xf numFmtId="0" fontId="10" fillId="0" borderId="0" xfId="0" applyFont="1"/>
    <xf numFmtId="9" fontId="10" fillId="0" borderId="0" xfId="0" applyNumberFormat="1" applyFont="1"/>
    <xf numFmtId="3" fontId="8" fillId="0" borderId="0" xfId="0" applyNumberFormat="1" applyFont="1"/>
    <xf numFmtId="0" fontId="13" fillId="0" borderId="0" xfId="0" applyFont="1" applyAlignment="1">
      <alignment wrapText="1"/>
    </xf>
    <xf numFmtId="1" fontId="13" fillId="0" borderId="0" xfId="0" applyNumberFormat="1" applyFont="1"/>
    <xf numFmtId="0" fontId="11" fillId="0" borderId="0" xfId="0" applyFont="1" applyAlignment="1">
      <alignment horizontal="left" vertical="justify"/>
    </xf>
    <xf numFmtId="0" fontId="11" fillId="0" borderId="15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7" fillId="0" borderId="0" xfId="0" applyFont="1" applyAlignment="1">
      <alignment horizontal="left"/>
    </xf>
    <xf numFmtId="0" fontId="13" fillId="2" borderId="6" xfId="0" applyFont="1" applyFill="1" applyBorder="1"/>
    <xf numFmtId="14" fontId="13" fillId="0" borderId="0" xfId="0" applyNumberFormat="1" applyFont="1"/>
    <xf numFmtId="0" fontId="14" fillId="0" borderId="0" xfId="0" applyFont="1" applyBorder="1" applyAlignment="1">
      <alignment horizontal="justify" vertical="top" wrapText="1"/>
    </xf>
    <xf numFmtId="3" fontId="14" fillId="0" borderId="0" xfId="0" applyNumberFormat="1" applyFont="1" applyBorder="1" applyAlignment="1">
      <alignment horizontal="justify" vertical="top" wrapText="1"/>
    </xf>
    <xf numFmtId="0" fontId="7" fillId="0" borderId="0" xfId="0" applyFont="1" applyAlignment="1">
      <alignment horizontal="right"/>
    </xf>
    <xf numFmtId="0" fontId="14" fillId="0" borderId="0" xfId="0" applyFont="1" applyAlignment="1">
      <alignment horizontal="justify"/>
    </xf>
    <xf numFmtId="0" fontId="11" fillId="0" borderId="13" xfId="0" applyFont="1" applyBorder="1" applyAlignment="1">
      <alignment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14" fontId="5" fillId="0" borderId="0" xfId="1" applyNumberFormat="1" applyFont="1" applyFill="1"/>
    <xf numFmtId="10" fontId="5" fillId="11" borderId="4" xfId="1" applyNumberFormat="1" applyFont="1" applyFill="1" applyBorder="1" applyAlignment="1" applyProtection="1">
      <alignment horizontal="center"/>
      <protection hidden="1"/>
    </xf>
    <xf numFmtId="10" fontId="5" fillId="10" borderId="4" xfId="1" applyNumberFormat="1" applyFont="1" applyFill="1" applyBorder="1" applyAlignment="1" applyProtection="1">
      <alignment horizontal="center"/>
      <protection hidden="1"/>
    </xf>
    <xf numFmtId="10" fontId="24" fillId="0" borderId="0" xfId="1" applyNumberFormat="1" applyFont="1" applyFill="1"/>
    <xf numFmtId="0" fontId="8" fillId="2" borderId="6" xfId="0" applyFont="1" applyFill="1" applyBorder="1" applyAlignment="1">
      <alignment horizontal="center" vertical="center" wrapText="1"/>
    </xf>
    <xf numFmtId="3" fontId="10" fillId="10" borderId="5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2" fillId="0" borderId="13" xfId="0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 wrapText="1"/>
    </xf>
    <xf numFmtId="3" fontId="12" fillId="0" borderId="6" xfId="0" applyNumberFormat="1" applyFont="1" applyFill="1" applyBorder="1" applyAlignment="1">
      <alignment vertical="center"/>
    </xf>
    <xf numFmtId="0" fontId="11" fillId="0" borderId="0" xfId="0" applyFont="1" applyAlignment="1"/>
    <xf numFmtId="0" fontId="8" fillId="10" borderId="6" xfId="0" applyFont="1" applyFill="1" applyBorder="1" applyAlignment="1">
      <alignment horizontal="center" vertical="center" wrapText="1"/>
    </xf>
    <xf numFmtId="0" fontId="28" fillId="0" borderId="5" xfId="0" applyFont="1" applyFill="1" applyBorder="1" applyAlignment="1">
      <alignment horizontal="left" vertical="center" wrapText="1"/>
    </xf>
    <xf numFmtId="0" fontId="28" fillId="0" borderId="5" xfId="0" applyNumberFormat="1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8" fillId="2" borderId="8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29" fillId="0" borderId="13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7" fillId="8" borderId="23" xfId="0" applyFont="1" applyFill="1" applyBorder="1" applyAlignment="1">
      <alignment vertical="center"/>
    </xf>
    <xf numFmtId="0" fontId="17" fillId="8" borderId="21" xfId="0" applyFont="1" applyFill="1" applyBorder="1" applyAlignment="1">
      <alignment vertical="center"/>
    </xf>
    <xf numFmtId="0" fontId="17" fillId="8" borderId="22" xfId="0" applyFont="1" applyFill="1" applyBorder="1" applyAlignment="1">
      <alignment vertical="center"/>
    </xf>
    <xf numFmtId="0" fontId="17" fillId="8" borderId="21" xfId="0" applyFont="1" applyFill="1" applyBorder="1" applyAlignment="1">
      <alignment vertical="center" wrapText="1"/>
    </xf>
    <xf numFmtId="0" fontId="17" fillId="8" borderId="22" xfId="0" applyFont="1" applyFill="1" applyBorder="1" applyAlignment="1">
      <alignment vertical="center" wrapText="1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left" vertical="center" wrapText="1"/>
    </xf>
    <xf numFmtId="0" fontId="28" fillId="0" borderId="5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quotePrefix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23" xfId="0" applyFont="1" applyFill="1" applyBorder="1" applyAlignment="1">
      <alignment horizontal="center" vertical="center" wrapText="1"/>
    </xf>
    <xf numFmtId="0" fontId="13" fillId="0" borderId="6" xfId="0" applyFont="1" applyBorder="1"/>
    <xf numFmtId="0" fontId="13" fillId="0" borderId="0" xfId="0" applyFont="1" applyFill="1"/>
    <xf numFmtId="0" fontId="13" fillId="0" borderId="0" xfId="0" applyFont="1" applyFill="1" applyBorder="1"/>
    <xf numFmtId="3" fontId="10" fillId="10" borderId="24" xfId="0" applyNumberFormat="1" applyFont="1" applyFill="1" applyBorder="1" applyAlignment="1">
      <alignment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25" xfId="0" applyNumberFormat="1" applyFont="1" applyFill="1" applyBorder="1" applyAlignment="1">
      <alignment vertical="center"/>
    </xf>
    <xf numFmtId="0" fontId="13" fillId="0" borderId="10" xfId="0" applyFont="1" applyBorder="1"/>
    <xf numFmtId="1" fontId="13" fillId="0" borderId="0" xfId="0" applyNumberFormat="1" applyFont="1" applyFill="1" applyBorder="1"/>
    <xf numFmtId="0" fontId="24" fillId="10" borderId="0" xfId="1" applyFont="1" applyFill="1"/>
    <xf numFmtId="0" fontId="5" fillId="10" borderId="0" xfId="1" applyFont="1" applyFill="1"/>
    <xf numFmtId="3" fontId="11" fillId="0" borderId="0" xfId="0" applyNumberFormat="1" applyFont="1"/>
    <xf numFmtId="3" fontId="11" fillId="0" borderId="5" xfId="0" applyNumberFormat="1" applyFont="1" applyBorder="1" applyAlignment="1">
      <alignment horizontal="center" vertical="center"/>
    </xf>
    <xf numFmtId="0" fontId="24" fillId="0" borderId="0" xfId="1" applyFont="1" applyFill="1"/>
    <xf numFmtId="0" fontId="11" fillId="12" borderId="0" xfId="0" applyFont="1" applyFill="1" applyAlignment="1">
      <alignment horizontal="left" vertical="justify"/>
    </xf>
    <xf numFmtId="14" fontId="4" fillId="0" borderId="0" xfId="1" applyNumberFormat="1" applyFont="1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vertical="center" wrapText="1"/>
    </xf>
    <xf numFmtId="14" fontId="4" fillId="0" borderId="0" xfId="1" applyNumberFormat="1" applyFont="1" applyFill="1" applyBorder="1" applyAlignment="1">
      <alignment horizontal="center" wrapText="1"/>
    </xf>
    <xf numFmtId="0" fontId="28" fillId="14" borderId="5" xfId="0" applyNumberFormat="1" applyFont="1" applyFill="1" applyBorder="1" applyAlignment="1">
      <alignment vertical="center"/>
    </xf>
    <xf numFmtId="0" fontId="14" fillId="0" borderId="0" xfId="0" applyFont="1" applyAlignment="1">
      <alignment horizontal="right" vertical="center"/>
    </xf>
    <xf numFmtId="0" fontId="32" fillId="0" borderId="0" xfId="0" applyFont="1" applyFill="1" applyAlignment="1">
      <alignment vertical="center" wrapText="1"/>
    </xf>
    <xf numFmtId="0" fontId="33" fillId="0" borderId="0" xfId="0" applyFont="1" applyAlignment="1">
      <alignment horizontal="left" vertical="center" wrapText="1"/>
    </xf>
    <xf numFmtId="0" fontId="33" fillId="0" borderId="0" xfId="0" applyFont="1" applyAlignment="1">
      <alignment horizontal="left"/>
    </xf>
    <xf numFmtId="0" fontId="34" fillId="0" borderId="0" xfId="0" applyFont="1"/>
    <xf numFmtId="0" fontId="35" fillId="0" borderId="0" xfId="0" applyFont="1" applyFill="1" applyAlignment="1">
      <alignment vertical="center" wrapText="1"/>
    </xf>
    <xf numFmtId="0" fontId="1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7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justify" vertical="center" wrapText="1"/>
    </xf>
    <xf numFmtId="0" fontId="14" fillId="0" borderId="6" xfId="0" applyFont="1" applyBorder="1" applyAlignment="1">
      <alignment horizontal="center" vertical="center" wrapText="1"/>
    </xf>
    <xf numFmtId="3" fontId="14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wrapText="1"/>
    </xf>
    <xf numFmtId="0" fontId="36" fillId="0" borderId="0" xfId="0" applyFont="1" applyAlignment="1">
      <alignment horizontal="left" vertical="top"/>
    </xf>
    <xf numFmtId="0" fontId="14" fillId="0" borderId="0" xfId="0" applyFont="1" applyFill="1"/>
    <xf numFmtId="0" fontId="34" fillId="0" borderId="0" xfId="0" applyFont="1" applyFill="1"/>
    <xf numFmtId="14" fontId="13" fillId="0" borderId="0" xfId="0" applyNumberFormat="1" applyFont="1" applyFill="1"/>
    <xf numFmtId="10" fontId="13" fillId="0" borderId="0" xfId="0" applyNumberFormat="1" applyFont="1" applyFill="1"/>
    <xf numFmtId="172" fontId="26" fillId="0" borderId="0" xfId="0" applyNumberFormat="1" applyFont="1" applyFill="1"/>
    <xf numFmtId="3" fontId="23" fillId="0" borderId="0" xfId="0" applyNumberFormat="1" applyFont="1" applyFill="1" applyBorder="1"/>
    <xf numFmtId="0" fontId="14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14" fillId="0" borderId="6" xfId="0" applyFont="1" applyBorder="1" applyAlignment="1">
      <alignment horizontal="left" vertical="center" wrapText="1"/>
    </xf>
    <xf numFmtId="3" fontId="37" fillId="0" borderId="6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38" fillId="0" borderId="0" xfId="0" applyFont="1" applyAlignment="1">
      <alignment horizontal="right"/>
    </xf>
    <xf numFmtId="0" fontId="34" fillId="0" borderId="0" xfId="0" applyFont="1" applyAlignment="1">
      <alignment horizontal="left" wrapText="1"/>
    </xf>
    <xf numFmtId="0" fontId="39" fillId="0" borderId="0" xfId="0" applyFont="1" applyAlignment="1">
      <alignment horizontal="right"/>
    </xf>
    <xf numFmtId="0" fontId="33" fillId="0" borderId="0" xfId="0" applyFont="1" applyAlignment="1">
      <alignment horizontal="right"/>
    </xf>
    <xf numFmtId="0" fontId="34" fillId="0" borderId="0" xfId="0" applyFont="1" applyAlignment="1">
      <alignment wrapText="1"/>
    </xf>
    <xf numFmtId="0" fontId="34" fillId="0" borderId="0" xfId="0" applyFont="1" applyFill="1" applyAlignment="1">
      <alignment wrapText="1"/>
    </xf>
    <xf numFmtId="0" fontId="33" fillId="0" borderId="0" xfId="0" applyFont="1" applyAlignment="1">
      <alignment wrapText="1"/>
    </xf>
    <xf numFmtId="0" fontId="14" fillId="0" borderId="6" xfId="2" applyNumberFormat="1" applyFont="1" applyBorder="1" applyAlignment="1">
      <alignment horizontal="center" vertical="center" wrapText="1"/>
    </xf>
    <xf numFmtId="3" fontId="40" fillId="0" borderId="0" xfId="0" applyNumberFormat="1" applyFont="1"/>
    <xf numFmtId="14" fontId="14" fillId="0" borderId="0" xfId="0" applyNumberFormat="1" applyFont="1" applyAlignment="1">
      <alignment horizontal="left" vertical="center"/>
    </xf>
    <xf numFmtId="3" fontId="11" fillId="0" borderId="0" xfId="0" applyNumberFormat="1" applyFont="1" applyFill="1" applyAlignment="1">
      <alignment vertical="center"/>
    </xf>
    <xf numFmtId="3" fontId="11" fillId="0" borderId="0" xfId="0" applyNumberFormat="1" applyFont="1" applyFill="1"/>
    <xf numFmtId="10" fontId="11" fillId="0" borderId="0" xfId="0" applyNumberFormat="1" applyFont="1" applyAlignment="1">
      <alignment vertical="center"/>
    </xf>
    <xf numFmtId="0" fontId="5" fillId="0" borderId="0" xfId="1" applyFont="1" applyFill="1" applyAlignment="1">
      <alignment vertical="center"/>
    </xf>
    <xf numFmtId="0" fontId="5" fillId="13" borderId="0" xfId="1" applyFont="1" applyFill="1" applyAlignment="1">
      <alignment horizontal="center" vertical="center"/>
    </xf>
    <xf numFmtId="0" fontId="4" fillId="13" borderId="0" xfId="1" applyFont="1" applyFill="1" applyAlignment="1">
      <alignment horizontal="center" vertical="center"/>
    </xf>
    <xf numFmtId="0" fontId="5" fillId="15" borderId="0" xfId="1" applyFont="1" applyFill="1" applyAlignment="1">
      <alignment horizontal="center" vertical="center"/>
    </xf>
    <xf numFmtId="0" fontId="4" fillId="15" borderId="0" xfId="1" applyFont="1" applyFill="1" applyAlignment="1">
      <alignment horizontal="center" vertical="center" wrapText="1"/>
    </xf>
    <xf numFmtId="10" fontId="5" fillId="13" borderId="1" xfId="1" applyNumberFormat="1" applyFont="1" applyFill="1" applyBorder="1" applyAlignment="1" applyProtection="1">
      <alignment horizontal="center" vertical="center"/>
      <protection hidden="1"/>
    </xf>
    <xf numFmtId="10" fontId="5" fillId="13" borderId="4" xfId="1" applyNumberFormat="1" applyFont="1" applyFill="1" applyBorder="1" applyAlignment="1" applyProtection="1">
      <alignment horizontal="center" vertical="center"/>
      <protection hidden="1"/>
    </xf>
    <xf numFmtId="10" fontId="5" fillId="15" borderId="1" xfId="1" applyNumberFormat="1" applyFont="1" applyFill="1" applyBorder="1" applyAlignment="1" applyProtection="1">
      <alignment horizontal="center" vertical="center"/>
      <protection hidden="1"/>
    </xf>
    <xf numFmtId="10" fontId="5" fillId="15" borderId="4" xfId="1" applyNumberFormat="1" applyFont="1" applyFill="1" applyBorder="1" applyAlignment="1" applyProtection="1">
      <alignment horizontal="center" vertical="center"/>
      <protection hidden="1"/>
    </xf>
    <xf numFmtId="10" fontId="43" fillId="13" borderId="2" xfId="1" applyNumberFormat="1" applyFont="1" applyFill="1" applyBorder="1" applyAlignment="1" applyProtection="1">
      <alignment horizontal="center" vertical="center"/>
      <protection hidden="1"/>
    </xf>
    <xf numFmtId="10" fontId="43" fillId="15" borderId="2" xfId="1" applyNumberFormat="1" applyFont="1" applyFill="1" applyBorder="1" applyAlignment="1" applyProtection="1">
      <alignment horizontal="center" vertical="center"/>
      <protection hidden="1"/>
    </xf>
    <xf numFmtId="14" fontId="2" fillId="0" borderId="18" xfId="1" applyNumberFormat="1" applyFont="1" applyFill="1" applyBorder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14" fontId="4" fillId="0" borderId="1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/>
    </xf>
    <xf numFmtId="0" fontId="4" fillId="13" borderId="2" xfId="1" applyNumberFormat="1" applyFont="1" applyFill="1" applyBorder="1" applyAlignment="1">
      <alignment horizontal="center" vertical="center" wrapText="1"/>
    </xf>
    <xf numFmtId="166" fontId="4" fillId="0" borderId="2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14" fontId="5" fillId="0" borderId="3" xfId="1" applyNumberFormat="1" applyFont="1" applyFill="1" applyBorder="1" applyAlignment="1">
      <alignment horizontal="center" vertical="center"/>
    </xf>
    <xf numFmtId="10" fontId="5" fillId="0" borderId="3" xfId="2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10" fontId="5" fillId="0" borderId="4" xfId="2" applyNumberFormat="1" applyFont="1" applyFill="1" applyBorder="1" applyAlignment="1">
      <alignment horizontal="center"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14" fontId="5" fillId="13" borderId="3" xfId="1" applyNumberFormat="1" applyFont="1" applyFill="1" applyBorder="1" applyAlignment="1">
      <alignment horizontal="center" vertical="center"/>
    </xf>
    <xf numFmtId="10" fontId="5" fillId="13" borderId="4" xfId="2" applyNumberFormat="1" applyFont="1" applyFill="1" applyBorder="1" applyAlignment="1">
      <alignment horizontal="center" vertical="center"/>
    </xf>
    <xf numFmtId="14" fontId="25" fillId="0" borderId="0" xfId="1" applyNumberFormat="1" applyFont="1" applyFill="1" applyBorder="1" applyAlignment="1">
      <alignment vertical="center" wrapText="1"/>
    </xf>
    <xf numFmtId="10" fontId="5" fillId="13" borderId="0" xfId="1" applyNumberFormat="1" applyFont="1" applyFill="1" applyAlignment="1">
      <alignment horizontal="center" vertical="center"/>
    </xf>
    <xf numFmtId="0" fontId="14" fillId="0" borderId="0" xfId="0" applyFont="1" applyAlignment="1">
      <alignment horizontal="center"/>
    </xf>
    <xf numFmtId="0" fontId="11" fillId="7" borderId="5" xfId="0" applyNumberFormat="1" applyFont="1" applyFill="1" applyBorder="1" applyAlignment="1">
      <alignment horizontal="right" vertical="center"/>
    </xf>
    <xf numFmtId="0" fontId="11" fillId="0" borderId="0" xfId="0" applyNumberFormat="1" applyFont="1" applyBorder="1" applyAlignment="1">
      <alignment vertical="center"/>
    </xf>
    <xf numFmtId="0" fontId="11" fillId="0" borderId="0" xfId="0" applyNumberFormat="1" applyFont="1" applyAlignment="1">
      <alignment vertical="center"/>
    </xf>
    <xf numFmtId="0" fontId="11" fillId="0" borderId="6" xfId="0" applyNumberFormat="1" applyFont="1" applyFill="1" applyBorder="1" applyAlignment="1">
      <alignment horizontal="right" vertical="center"/>
    </xf>
    <xf numFmtId="0" fontId="11" fillId="0" borderId="0" xfId="0" applyNumberFormat="1" applyFont="1"/>
    <xf numFmtId="0" fontId="12" fillId="0" borderId="13" xfId="0" applyNumberFormat="1" applyFont="1" applyFill="1" applyBorder="1" applyAlignment="1">
      <alignment horizontal="center" vertical="top" wrapText="1"/>
    </xf>
    <xf numFmtId="0" fontId="8" fillId="2" borderId="6" xfId="0" applyNumberFormat="1" applyFont="1" applyFill="1" applyBorder="1" applyAlignment="1">
      <alignment horizontal="center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/>
    <xf numFmtId="0" fontId="5" fillId="0" borderId="0" xfId="1" applyFont="1" applyFill="1" applyAlignment="1">
      <alignment horizontal="left"/>
    </xf>
    <xf numFmtId="0" fontId="5" fillId="0" borderId="6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/>
    </xf>
    <xf numFmtId="9" fontId="5" fillId="0" borderId="0" xfId="2" applyFont="1" applyFill="1"/>
    <xf numFmtId="10" fontId="5" fillId="0" borderId="0" xfId="2" applyNumberFormat="1" applyFont="1" applyFill="1"/>
    <xf numFmtId="9" fontId="5" fillId="0" borderId="0" xfId="1" applyNumberFormat="1" applyFont="1" applyFill="1"/>
    <xf numFmtId="49" fontId="5" fillId="14" borderId="6" xfId="1" applyNumberFormat="1" applyFont="1" applyFill="1" applyBorder="1" applyAlignment="1">
      <alignment horizontal="left"/>
    </xf>
    <xf numFmtId="49" fontId="5" fillId="16" borderId="6" xfId="1" applyNumberFormat="1" applyFont="1" applyFill="1" applyBorder="1" applyAlignment="1">
      <alignment horizontal="left"/>
    </xf>
    <xf numFmtId="49" fontId="5" fillId="17" borderId="6" xfId="1" applyNumberFormat="1" applyFont="1" applyFill="1" applyBorder="1" applyAlignment="1">
      <alignment horizontal="left"/>
    </xf>
    <xf numFmtId="49" fontId="5" fillId="17" borderId="6" xfId="1" applyNumberFormat="1" applyFont="1" applyFill="1" applyBorder="1"/>
    <xf numFmtId="167" fontId="5" fillId="0" borderId="0" xfId="2" applyNumberFormat="1" applyFont="1" applyFill="1"/>
    <xf numFmtId="174" fontId="5" fillId="0" borderId="0" xfId="2" applyNumberFormat="1" applyFont="1" applyFill="1"/>
    <xf numFmtId="10" fontId="11" fillId="0" borderId="5" xfId="2" applyNumberFormat="1" applyFont="1" applyFill="1" applyBorder="1" applyAlignment="1">
      <alignment horizontal="right" vertical="center"/>
    </xf>
    <xf numFmtId="49" fontId="5" fillId="18" borderId="6" xfId="1" applyNumberFormat="1" applyFont="1" applyFill="1" applyBorder="1" applyAlignment="1">
      <alignment horizontal="left"/>
    </xf>
    <xf numFmtId="10" fontId="5" fillId="10" borderId="0" xfId="1" applyNumberFormat="1" applyFont="1" applyFill="1"/>
    <xf numFmtId="4" fontId="11" fillId="0" borderId="0" xfId="0" applyNumberFormat="1" applyFont="1" applyFill="1"/>
    <xf numFmtId="0" fontId="4" fillId="13" borderId="26" xfId="1" applyFont="1" applyFill="1" applyBorder="1" applyAlignment="1" applyProtection="1">
      <alignment vertical="center"/>
      <protection hidden="1"/>
    </xf>
    <xf numFmtId="0" fontId="4" fillId="13" borderId="18" xfId="1" applyFont="1" applyFill="1" applyBorder="1" applyAlignment="1" applyProtection="1">
      <alignment vertical="center"/>
      <protection hidden="1"/>
    </xf>
    <xf numFmtId="10" fontId="43" fillId="13" borderId="4" xfId="1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Alignment="1">
      <alignment horizontal="right"/>
    </xf>
    <xf numFmtId="0" fontId="5" fillId="0" borderId="6" xfId="1" applyFont="1" applyFill="1" applyBorder="1"/>
    <xf numFmtId="0" fontId="5" fillId="0" borderId="7" xfId="1" applyFont="1" applyFill="1" applyBorder="1" applyAlignment="1">
      <alignment horizontal="left"/>
    </xf>
    <xf numFmtId="10" fontId="5" fillId="14" borderId="6" xfId="2" applyNumberFormat="1" applyFont="1" applyFill="1" applyBorder="1" applyAlignment="1">
      <alignment horizontal="left"/>
    </xf>
    <xf numFmtId="10" fontId="5" fillId="18" borderId="6" xfId="2" applyNumberFormat="1" applyFont="1" applyFill="1" applyBorder="1" applyAlignment="1">
      <alignment horizontal="left"/>
    </xf>
    <xf numFmtId="10" fontId="5" fillId="0" borderId="6" xfId="2" applyNumberFormat="1" applyFont="1" applyFill="1" applyBorder="1"/>
    <xf numFmtId="10" fontId="5" fillId="16" borderId="6" xfId="2" applyNumberFormat="1" applyFont="1" applyFill="1" applyBorder="1" applyAlignment="1">
      <alignment horizontal="left"/>
    </xf>
    <xf numFmtId="10" fontId="5" fillId="17" borderId="6" xfId="2" applyNumberFormat="1" applyFont="1" applyFill="1" applyBorder="1"/>
    <xf numFmtId="10" fontId="5" fillId="17" borderId="6" xfId="2" applyNumberFormat="1" applyFont="1" applyFill="1" applyBorder="1" applyAlignment="1">
      <alignment horizontal="left"/>
    </xf>
    <xf numFmtId="10" fontId="43" fillId="18" borderId="6" xfId="2" applyNumberFormat="1" applyFont="1" applyFill="1" applyBorder="1"/>
    <xf numFmtId="10" fontId="5" fillId="14" borderId="6" xfId="2" applyNumberFormat="1" applyFont="1" applyFill="1" applyBorder="1"/>
    <xf numFmtId="10" fontId="5" fillId="16" borderId="6" xfId="2" applyNumberFormat="1" applyFont="1" applyFill="1" applyBorder="1"/>
    <xf numFmtId="10" fontId="5" fillId="18" borderId="6" xfId="2" applyNumberFormat="1" applyFont="1" applyFill="1" applyBorder="1"/>
    <xf numFmtId="10" fontId="5" fillId="17" borderId="6" xfId="2" applyNumberFormat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vertical="center"/>
    </xf>
    <xf numFmtId="0" fontId="5" fillId="0" borderId="6" xfId="1" applyFont="1" applyFill="1" applyBorder="1" applyAlignment="1"/>
    <xf numFmtId="9" fontId="20" fillId="0" borderId="6" xfId="2" applyFont="1" applyFill="1" applyBorder="1" applyAlignment="1">
      <alignment horizontal="left" vertical="center"/>
    </xf>
    <xf numFmtId="164" fontId="20" fillId="0" borderId="6" xfId="2" applyNumberFormat="1" applyFont="1" applyFill="1" applyBorder="1" applyAlignment="1">
      <alignment horizontal="left" vertical="center"/>
    </xf>
    <xf numFmtId="0" fontId="22" fillId="0" borderId="0" xfId="1" applyFont="1" applyFill="1" applyAlignment="1">
      <alignment horizontal="center"/>
    </xf>
    <xf numFmtId="0" fontId="22" fillId="0" borderId="0" xfId="1" applyFont="1" applyFill="1" applyBorder="1"/>
    <xf numFmtId="1" fontId="13" fillId="0" borderId="0" xfId="0" applyNumberFormat="1" applyFont="1" applyAlignment="1">
      <alignment vertical="center"/>
    </xf>
    <xf numFmtId="175" fontId="13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175" fontId="13" fillId="0" borderId="0" xfId="0" applyNumberFormat="1" applyFont="1" applyBorder="1"/>
    <xf numFmtId="176" fontId="13" fillId="0" borderId="0" xfId="0" applyNumberFormat="1" applyFont="1" applyAlignment="1">
      <alignment vertical="center"/>
    </xf>
    <xf numFmtId="177" fontId="13" fillId="0" borderId="0" xfId="0" applyNumberFormat="1" applyFont="1" applyAlignment="1">
      <alignment vertical="center"/>
    </xf>
    <xf numFmtId="178" fontId="13" fillId="0" borderId="0" xfId="0" applyNumberFormat="1" applyFont="1" applyAlignment="1">
      <alignment vertical="center"/>
    </xf>
    <xf numFmtId="3" fontId="37" fillId="0" borderId="8" xfId="0" applyNumberFormat="1" applyFont="1" applyBorder="1" applyAlignment="1">
      <alignment horizontal="center" vertical="center" wrapText="1"/>
    </xf>
    <xf numFmtId="0" fontId="44" fillId="0" borderId="27" xfId="2" applyNumberFormat="1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49" fontId="11" fillId="0" borderId="5" xfId="0" applyNumberFormat="1" applyFont="1" applyFill="1" applyBorder="1" applyAlignment="1">
      <alignment horizontal="left" vertical="center" wrapText="1"/>
    </xf>
    <xf numFmtId="49" fontId="43" fillId="14" borderId="6" xfId="1" applyNumberFormat="1" applyFont="1" applyFill="1" applyBorder="1" applyAlignment="1">
      <alignment horizontal="left"/>
    </xf>
    <xf numFmtId="49" fontId="43" fillId="16" borderId="6" xfId="1" applyNumberFormat="1" applyFont="1" applyFill="1" applyBorder="1" applyAlignment="1">
      <alignment horizontal="left"/>
    </xf>
    <xf numFmtId="0" fontId="6" fillId="0" borderId="0" xfId="0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horizontal="right" vertical="center"/>
    </xf>
    <xf numFmtId="10" fontId="11" fillId="0" borderId="0" xfId="2" applyNumberFormat="1" applyFont="1" applyFill="1" applyBorder="1" applyAlignment="1">
      <alignment horizontal="right" vertical="center"/>
    </xf>
    <xf numFmtId="10" fontId="16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right" vertical="center" wrapText="1"/>
    </xf>
    <xf numFmtId="3" fontId="31" fillId="0" borderId="0" xfId="0" applyNumberFormat="1" applyFont="1" applyFill="1" applyBorder="1" applyAlignment="1">
      <alignment horizontal="right" vertical="center"/>
    </xf>
    <xf numFmtId="0" fontId="11" fillId="0" borderId="0" xfId="0" applyNumberFormat="1" applyFont="1" applyFill="1" applyBorder="1" applyAlignment="1">
      <alignment horizontal="right" vertical="center"/>
    </xf>
    <xf numFmtId="168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" fontId="11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NumberFormat="1" applyFont="1" applyFill="1" applyAlignment="1">
      <alignment vertical="center"/>
    </xf>
    <xf numFmtId="3" fontId="10" fillId="9" borderId="5" xfId="0" applyNumberFormat="1" applyFont="1" applyFill="1" applyBorder="1" applyAlignment="1" applyProtection="1">
      <alignment horizontal="right" vertical="center"/>
      <protection locked="0"/>
    </xf>
    <xf numFmtId="49" fontId="11" fillId="7" borderId="5" xfId="0" applyNumberFormat="1" applyFont="1" applyFill="1" applyBorder="1" applyAlignment="1" applyProtection="1">
      <alignment horizontal="left" vertical="center" wrapText="1"/>
      <protection locked="0"/>
    </xf>
    <xf numFmtId="169" fontId="19" fillId="0" borderId="16" xfId="0" applyNumberFormat="1" applyFont="1" applyFill="1" applyBorder="1" applyAlignment="1" applyProtection="1">
      <alignment horizontal="left" vertical="center"/>
      <protection locked="0"/>
    </xf>
    <xf numFmtId="169" fontId="10" fillId="0" borderId="16" xfId="0" applyNumberFormat="1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left" vertical="center" wrapText="1"/>
      <protection locked="0"/>
    </xf>
    <xf numFmtId="49" fontId="11" fillId="13" borderId="5" xfId="0" applyNumberFormat="1" applyFont="1" applyFill="1" applyBorder="1" applyAlignment="1" applyProtection="1">
      <alignment horizontal="left" vertical="center" wrapText="1"/>
      <protection locked="0"/>
    </xf>
    <xf numFmtId="3" fontId="10" fillId="19" borderId="5" xfId="0" applyNumberFormat="1" applyFont="1" applyFill="1" applyBorder="1" applyAlignment="1" applyProtection="1">
      <alignment horizontal="right" vertical="center"/>
      <protection locked="0"/>
    </xf>
    <xf numFmtId="3" fontId="10" fillId="13" borderId="5" xfId="0" applyNumberFormat="1" applyFont="1" applyFill="1" applyBorder="1" applyAlignment="1" applyProtection="1">
      <alignment horizontal="right" vertical="center"/>
      <protection locked="0"/>
    </xf>
    <xf numFmtId="3" fontId="31" fillId="7" borderId="5" xfId="0" applyNumberFormat="1" applyFont="1" applyFill="1" applyBorder="1" applyAlignment="1" applyProtection="1">
      <alignment horizontal="right" vertical="center"/>
      <protection locked="0"/>
    </xf>
    <xf numFmtId="3" fontId="10" fillId="7" borderId="5" xfId="0" applyNumberFormat="1" applyFont="1" applyFill="1" applyBorder="1" applyAlignment="1" applyProtection="1">
      <alignment horizontal="right" vertical="center"/>
      <protection locked="0"/>
    </xf>
    <xf numFmtId="0" fontId="11" fillId="7" borderId="5" xfId="0" applyNumberFormat="1" applyFont="1" applyFill="1" applyBorder="1" applyAlignment="1" applyProtection="1">
      <alignment horizontal="right" vertical="center"/>
      <protection locked="0"/>
    </xf>
    <xf numFmtId="168" fontId="11" fillId="13" borderId="5" xfId="0" applyNumberFormat="1" applyFont="1" applyFill="1" applyBorder="1" applyAlignment="1" applyProtection="1">
      <alignment vertical="center"/>
      <protection locked="0"/>
    </xf>
    <xf numFmtId="3" fontId="10" fillId="7" borderId="5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Protection="1">
      <protection hidden="1"/>
    </xf>
    <xf numFmtId="0" fontId="13" fillId="0" borderId="0" xfId="0" applyFont="1" applyFill="1" applyBorder="1" applyProtection="1">
      <protection hidden="1"/>
    </xf>
    <xf numFmtId="0" fontId="7" fillId="0" borderId="0" xfId="0" applyFont="1" applyAlignment="1" applyProtection="1">
      <alignment wrapText="1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3" fillId="0" borderId="0" xfId="0" applyFont="1" applyFill="1" applyProtection="1">
      <protection hidden="1"/>
    </xf>
    <xf numFmtId="3" fontId="13" fillId="0" borderId="0" xfId="0" applyNumberFormat="1" applyFont="1" applyAlignment="1" applyProtection="1">
      <alignment horizontal="right" wrapText="1"/>
      <protection hidden="1"/>
    </xf>
    <xf numFmtId="0" fontId="36" fillId="0" borderId="0" xfId="0" applyFont="1" applyAlignment="1" applyProtection="1">
      <alignment horizontal="left" vertical="top"/>
      <protection hidden="1"/>
    </xf>
    <xf numFmtId="0" fontId="21" fillId="0" borderId="0" xfId="0" applyFont="1" applyAlignment="1" applyProtection="1">
      <alignment vertical="center"/>
      <protection hidden="1"/>
    </xf>
    <xf numFmtId="0" fontId="14" fillId="0" borderId="0" xfId="0" applyFont="1" applyAlignment="1" applyProtection="1">
      <alignment horizontal="center"/>
      <protection hidden="1"/>
    </xf>
    <xf numFmtId="0" fontId="7" fillId="0" borderId="0" xfId="0" applyFont="1" applyAlignment="1" applyProtection="1">
      <alignment vertical="center" wrapText="1"/>
      <protection hidden="1"/>
    </xf>
    <xf numFmtId="0" fontId="13" fillId="0" borderId="0" xfId="0" applyFont="1" applyAlignment="1" applyProtection="1">
      <alignment vertical="center"/>
      <protection hidden="1"/>
    </xf>
    <xf numFmtId="0" fontId="7" fillId="0" borderId="0" xfId="0" applyFont="1" applyAlignment="1" applyProtection="1">
      <alignment horizontal="left"/>
      <protection hidden="1"/>
    </xf>
    <xf numFmtId="0" fontId="14" fillId="2" borderId="6" xfId="0" applyFont="1" applyFill="1" applyBorder="1" applyAlignment="1" applyProtection="1">
      <alignment horizontal="center" vertical="center"/>
      <protection hidden="1"/>
    </xf>
    <xf numFmtId="0" fontId="14" fillId="2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Protection="1">
      <protection hidden="1"/>
    </xf>
    <xf numFmtId="0" fontId="32" fillId="0" borderId="0" xfId="0" applyFont="1" applyFill="1" applyAlignment="1" applyProtection="1">
      <alignment vertical="center" wrapText="1"/>
      <protection hidden="1"/>
    </xf>
    <xf numFmtId="0" fontId="14" fillId="0" borderId="0" xfId="0" applyFont="1" applyProtection="1">
      <protection hidden="1"/>
    </xf>
    <xf numFmtId="0" fontId="33" fillId="0" borderId="0" xfId="0" applyFont="1" applyAlignment="1" applyProtection="1">
      <alignment horizontal="left" vertical="center" wrapText="1"/>
      <protection hidden="1"/>
    </xf>
    <xf numFmtId="0" fontId="33" fillId="0" borderId="0" xfId="0" applyFont="1" applyAlignment="1" applyProtection="1">
      <alignment horizontal="left"/>
      <protection hidden="1"/>
    </xf>
    <xf numFmtId="0" fontId="34" fillId="0" borderId="0" xfId="0" applyFont="1" applyProtection="1">
      <protection hidden="1"/>
    </xf>
    <xf numFmtId="0" fontId="34" fillId="0" borderId="0" xfId="0" applyFont="1" applyFill="1" applyProtection="1">
      <protection hidden="1"/>
    </xf>
    <xf numFmtId="0" fontId="35" fillId="0" borderId="0" xfId="0" applyFont="1" applyFill="1" applyAlignment="1" applyProtection="1">
      <alignment vertical="center" wrapText="1"/>
      <protection hidden="1"/>
    </xf>
    <xf numFmtId="14" fontId="14" fillId="0" borderId="0" xfId="0" applyNumberFormat="1" applyFont="1" applyAlignment="1" applyProtection="1">
      <alignment horizontal="left" vertical="center"/>
      <protection hidden="1"/>
    </xf>
    <xf numFmtId="0" fontId="7" fillId="0" borderId="0" xfId="0" applyFont="1" applyAlignment="1" applyProtection="1">
      <alignment horizontal="left" vertical="center" wrapText="1"/>
      <protection hidden="1"/>
    </xf>
    <xf numFmtId="0" fontId="14" fillId="0" borderId="6" xfId="0" applyFont="1" applyBorder="1" applyAlignment="1" applyProtection="1">
      <alignment horizontal="center" vertical="center"/>
      <protection hidden="1"/>
    </xf>
    <xf numFmtId="0" fontId="14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vertical="center" wrapText="1"/>
      <protection hidden="1"/>
    </xf>
    <xf numFmtId="0" fontId="42" fillId="0" borderId="0" xfId="0" applyFont="1" applyFill="1" applyAlignment="1" applyProtection="1">
      <alignment vertical="center" wrapText="1"/>
      <protection hidden="1"/>
    </xf>
    <xf numFmtId="0" fontId="34" fillId="0" borderId="0" xfId="0" applyFont="1" applyAlignment="1" applyProtection="1">
      <alignment horizontal="left" vertical="center"/>
      <protection hidden="1"/>
    </xf>
    <xf numFmtId="0" fontId="37" fillId="0" borderId="0" xfId="0" applyFont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 horizontal="center" vertical="center" wrapText="1"/>
      <protection hidden="1"/>
    </xf>
    <xf numFmtId="0" fontId="7" fillId="0" borderId="0" xfId="0" applyFont="1" applyFill="1" applyAlignment="1" applyProtection="1">
      <alignment wrapText="1"/>
      <protection hidden="1"/>
    </xf>
    <xf numFmtId="0" fontId="14" fillId="0" borderId="0" xfId="0" applyFont="1" applyAlignment="1" applyProtection="1">
      <alignment vertical="center"/>
      <protection hidden="1"/>
    </xf>
    <xf numFmtId="3" fontId="13" fillId="0" borderId="0" xfId="0" applyNumberFormat="1" applyFont="1" applyAlignment="1" applyProtection="1">
      <alignment vertical="center"/>
      <protection hidden="1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justify" vertical="center" wrapText="1"/>
      <protection hidden="1"/>
    </xf>
    <xf numFmtId="3" fontId="40" fillId="0" borderId="0" xfId="0" applyNumberFormat="1" applyFont="1" applyProtection="1">
      <protection hidden="1"/>
    </xf>
    <xf numFmtId="0" fontId="7" fillId="0" borderId="6" xfId="0" applyFont="1" applyBorder="1" applyAlignment="1" applyProtection="1">
      <alignment horizontal="center" wrapText="1"/>
      <protection hidden="1"/>
    </xf>
    <xf numFmtId="3" fontId="13" fillId="0" borderId="0" xfId="0" applyNumberFormat="1" applyFont="1" applyProtection="1">
      <protection hidden="1"/>
    </xf>
    <xf numFmtId="3" fontId="14" fillId="0" borderId="6" xfId="0" applyNumberFormat="1" applyFont="1" applyBorder="1" applyAlignment="1" applyProtection="1">
      <alignment horizontal="center" vertical="center" wrapText="1"/>
      <protection hidden="1"/>
    </xf>
    <xf numFmtId="0" fontId="14" fillId="0" borderId="6" xfId="0" applyFont="1" applyBorder="1" applyAlignment="1" applyProtection="1">
      <alignment horizontal="left" vertical="center" wrapText="1"/>
      <protection hidden="1"/>
    </xf>
    <xf numFmtId="10" fontId="13" fillId="0" borderId="0" xfId="0" applyNumberFormat="1" applyFont="1" applyFill="1" applyProtection="1">
      <protection hidden="1"/>
    </xf>
    <xf numFmtId="3" fontId="37" fillId="0" borderId="6" xfId="0" applyNumberFormat="1" applyFont="1" applyBorder="1" applyAlignment="1" applyProtection="1">
      <alignment horizontal="center" vertical="center" wrapText="1"/>
      <protection hidden="1"/>
    </xf>
    <xf numFmtId="172" fontId="26" fillId="0" borderId="0" xfId="0" applyNumberFormat="1" applyFont="1" applyFill="1" applyProtection="1">
      <protection hidden="1"/>
    </xf>
    <xf numFmtId="3" fontId="23" fillId="0" borderId="0" xfId="0" applyNumberFormat="1" applyFont="1" applyFill="1" applyBorder="1" applyProtection="1">
      <protection hidden="1"/>
    </xf>
    <xf numFmtId="0" fontId="14" fillId="0" borderId="0" xfId="0" applyFont="1" applyBorder="1" applyAlignment="1" applyProtection="1">
      <alignment horizontal="justify" vertical="top" wrapText="1"/>
      <protection hidden="1"/>
    </xf>
    <xf numFmtId="3" fontId="14" fillId="0" borderId="0" xfId="0" applyNumberFormat="1" applyFont="1" applyBorder="1" applyAlignment="1" applyProtection="1">
      <alignment horizontal="justify" vertical="top" wrapText="1"/>
      <protection hidden="1"/>
    </xf>
    <xf numFmtId="0" fontId="14" fillId="0" borderId="0" xfId="0" applyFont="1" applyAlignment="1" applyProtection="1">
      <alignment horizontal="left" wrapText="1"/>
      <protection hidden="1"/>
    </xf>
    <xf numFmtId="49" fontId="38" fillId="0" borderId="0" xfId="0" applyNumberFormat="1" applyFont="1" applyAlignment="1" applyProtection="1">
      <alignment horizontal="right" wrapText="1"/>
      <protection hidden="1"/>
    </xf>
    <xf numFmtId="0" fontId="7" fillId="0" borderId="0" xfId="0" applyFont="1" applyAlignment="1" applyProtection="1">
      <alignment horizontal="right"/>
      <protection hidden="1"/>
    </xf>
    <xf numFmtId="0" fontId="14" fillId="0" borderId="0" xfId="0" applyFont="1" applyFill="1" applyAlignment="1" applyProtection="1">
      <alignment wrapText="1"/>
      <protection hidden="1"/>
    </xf>
    <xf numFmtId="0" fontId="13" fillId="0" borderId="0" xfId="0" applyFont="1" applyAlignment="1" applyProtection="1">
      <alignment wrapText="1"/>
      <protection hidden="1"/>
    </xf>
    <xf numFmtId="0" fontId="34" fillId="0" borderId="0" xfId="0" applyFont="1" applyAlignment="1" applyProtection="1">
      <alignment horizontal="left" wrapText="1"/>
      <protection hidden="1"/>
    </xf>
    <xf numFmtId="0" fontId="39" fillId="0" borderId="0" xfId="0" applyFont="1" applyAlignment="1" applyProtection="1">
      <alignment horizontal="right"/>
      <protection hidden="1"/>
    </xf>
    <xf numFmtId="0" fontId="33" fillId="0" borderId="0" xfId="0" applyFont="1" applyAlignment="1" applyProtection="1">
      <alignment horizontal="right"/>
      <protection hidden="1"/>
    </xf>
    <xf numFmtId="0" fontId="34" fillId="0" borderId="0" xfId="0" applyFont="1" applyFill="1" applyAlignment="1" applyProtection="1">
      <alignment wrapText="1"/>
      <protection hidden="1"/>
    </xf>
    <xf numFmtId="0" fontId="33" fillId="0" borderId="0" xfId="0" applyFont="1" applyAlignment="1" applyProtection="1">
      <alignment wrapText="1"/>
      <protection hidden="1"/>
    </xf>
    <xf numFmtId="0" fontId="34" fillId="0" borderId="0" xfId="0" applyFont="1" applyAlignment="1" applyProtection="1">
      <alignment wrapText="1"/>
      <protection hidden="1"/>
    </xf>
    <xf numFmtId="0" fontId="14" fillId="0" borderId="0" xfId="0" applyFont="1" applyAlignment="1" applyProtection="1">
      <alignment horizontal="justify"/>
      <protection hidden="1"/>
    </xf>
    <xf numFmtId="0" fontId="22" fillId="0" borderId="0" xfId="0" applyFont="1" applyFill="1" applyAlignment="1" applyProtection="1">
      <alignment vertical="center" wrapText="1"/>
      <protection hidden="1"/>
    </xf>
    <xf numFmtId="0" fontId="14" fillId="0" borderId="0" xfId="0" applyFont="1" applyAlignment="1" applyProtection="1">
      <alignment horizontal="left" vertical="center"/>
      <protection hidden="1"/>
    </xf>
    <xf numFmtId="0" fontId="13" fillId="0" borderId="0" xfId="0" applyFont="1" applyBorder="1" applyProtection="1">
      <protection hidden="1"/>
    </xf>
    <xf numFmtId="0" fontId="14" fillId="0" borderId="6" xfId="2" applyNumberFormat="1" applyFont="1" applyBorder="1" applyAlignment="1" applyProtection="1">
      <alignment horizontal="center" vertical="center" wrapText="1"/>
      <protection hidden="1"/>
    </xf>
    <xf numFmtId="0" fontId="39" fillId="0" borderId="0" xfId="0" applyFont="1" applyAlignment="1" applyProtection="1">
      <alignment horizontal="right" wrapText="1"/>
      <protection hidden="1"/>
    </xf>
    <xf numFmtId="4" fontId="10" fillId="0" borderId="5" xfId="0" applyNumberFormat="1" applyFont="1" applyFill="1" applyBorder="1" applyAlignment="1" applyProtection="1">
      <alignment vertical="center" wrapText="1"/>
    </xf>
    <xf numFmtId="49" fontId="10" fillId="7" borderId="16" xfId="0" applyNumberFormat="1" applyFont="1" applyFill="1" applyBorder="1" applyAlignment="1" applyProtection="1">
      <alignment horizontal="right" vertical="center" wrapText="1"/>
    </xf>
    <xf numFmtId="0" fontId="27" fillId="0" borderId="8" xfId="0" applyFont="1" applyFill="1" applyBorder="1" applyAlignment="1">
      <alignment horizontal="center" vertical="top" wrapText="1"/>
    </xf>
    <xf numFmtId="0" fontId="27" fillId="0" borderId="11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8" fillId="8" borderId="8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vertical="center" wrapText="1"/>
    </xf>
    <xf numFmtId="0" fontId="8" fillId="4" borderId="8" xfId="0" applyFont="1" applyFill="1" applyBorder="1" applyAlignment="1">
      <alignment horizontal="center" vertical="center" wrapText="1"/>
    </xf>
    <xf numFmtId="0" fontId="8" fillId="4" borderId="11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8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17" fillId="4" borderId="8" xfId="0" applyFont="1" applyFill="1" applyBorder="1" applyAlignment="1">
      <alignment horizontal="center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0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8" fillId="6" borderId="8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7" fillId="0" borderId="0" xfId="0" applyFont="1" applyAlignment="1" applyProtection="1">
      <alignment horizontal="left" vertical="center" wrapText="1"/>
      <protection hidden="1"/>
    </xf>
    <xf numFmtId="0" fontId="14" fillId="0" borderId="0" xfId="0" applyFont="1" applyAlignment="1">
      <alignment horizontal="left" wrapText="1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horizontal="center" vertical="top" wrapText="1"/>
    </xf>
    <xf numFmtId="173" fontId="14" fillId="0" borderId="0" xfId="0" applyNumberFormat="1" applyFont="1" applyAlignment="1">
      <alignment horizontal="left"/>
    </xf>
    <xf numFmtId="0" fontId="14" fillId="0" borderId="0" xfId="0" applyFont="1" applyAlignment="1">
      <alignment horizontal="left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14" fillId="0" borderId="8" xfId="0" applyNumberFormat="1" applyFont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14" fillId="0" borderId="8" xfId="0" applyNumberFormat="1" applyFont="1" applyBorder="1" applyAlignment="1" applyProtection="1">
      <alignment horizontal="center" vertical="center" wrapText="1"/>
      <protection hidden="1"/>
    </xf>
    <xf numFmtId="3" fontId="14" fillId="0" borderId="10" xfId="0" applyNumberFormat="1" applyFont="1" applyBorder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 vertical="center" wrapText="1"/>
      <protection hidden="1"/>
    </xf>
    <xf numFmtId="0" fontId="7" fillId="0" borderId="6" xfId="0" applyFont="1" applyFill="1" applyBorder="1" applyAlignment="1" applyProtection="1">
      <alignment horizontal="center" wrapText="1"/>
      <protection hidden="1"/>
    </xf>
    <xf numFmtId="0" fontId="7" fillId="0" borderId="8" xfId="0" applyFont="1" applyBorder="1" applyAlignment="1" applyProtection="1">
      <alignment horizontal="center" vertical="center" wrapText="1"/>
      <protection hidden="1"/>
    </xf>
    <xf numFmtId="0" fontId="7" fillId="0" borderId="10" xfId="0" applyFont="1" applyBorder="1" applyAlignment="1" applyProtection="1">
      <alignment horizontal="center" vertical="center" wrapText="1"/>
      <protection hidden="1"/>
    </xf>
    <xf numFmtId="173" fontId="14" fillId="0" borderId="0" xfId="0" applyNumberFormat="1" applyFont="1" applyAlignment="1" applyProtection="1">
      <alignment horizontal="left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6" xfId="0" applyFont="1" applyFill="1" applyBorder="1" applyAlignment="1" applyProtection="1">
      <alignment horizontal="center" vertical="top" wrapText="1"/>
      <protection hidden="1"/>
    </xf>
    <xf numFmtId="49" fontId="14" fillId="0" borderId="0" xfId="0" applyNumberFormat="1" applyFont="1" applyAlignment="1" applyProtection="1">
      <alignment horizontal="left" wrapText="1"/>
      <protection hidden="1"/>
    </xf>
    <xf numFmtId="0" fontId="14" fillId="0" borderId="0" xfId="0" applyNumberFormat="1" applyFont="1" applyAlignment="1" applyProtection="1">
      <alignment horizontal="left" wrapText="1"/>
      <protection hidden="1"/>
    </xf>
    <xf numFmtId="3" fontId="14" fillId="0" borderId="0" xfId="0" applyNumberFormat="1" applyFont="1" applyAlignment="1" applyProtection="1">
      <alignment horizontal="right" vertical="center" wrapText="1"/>
      <protection hidden="1"/>
    </xf>
    <xf numFmtId="14" fontId="2" fillId="0" borderId="18" xfId="1" applyNumberFormat="1" applyFont="1" applyFill="1" applyBorder="1" applyAlignment="1">
      <alignment horizontal="center" vertical="center"/>
    </xf>
    <xf numFmtId="14" fontId="25" fillId="0" borderId="0" xfId="1" applyNumberFormat="1" applyFont="1" applyFill="1" applyBorder="1" applyAlignment="1">
      <alignment horizontal="center" vertical="center"/>
    </xf>
    <xf numFmtId="14" fontId="25" fillId="0" borderId="0" xfId="1" applyNumberFormat="1" applyFont="1" applyFill="1" applyBorder="1" applyAlignment="1">
      <alignment horizontal="center" vertical="center" wrapText="1"/>
    </xf>
    <xf numFmtId="14" fontId="4" fillId="0" borderId="0" xfId="1" applyNumberFormat="1" applyFont="1" applyFill="1" applyBorder="1" applyAlignment="1">
      <alignment horizontal="center" wrapText="1"/>
    </xf>
    <xf numFmtId="14" fontId="25" fillId="0" borderId="0" xfId="1" applyNumberFormat="1" applyFont="1" applyFill="1" applyBorder="1" applyAlignment="1">
      <alignment horizontal="center" wrapText="1"/>
    </xf>
    <xf numFmtId="0" fontId="8" fillId="8" borderId="21" xfId="0" applyFont="1" applyFill="1" applyBorder="1" applyAlignment="1">
      <alignment horizontal="center" vertical="center" wrapText="1"/>
    </xf>
    <xf numFmtId="0" fontId="8" fillId="8" borderId="22" xfId="0" applyFont="1" applyFill="1" applyBorder="1" applyAlignment="1">
      <alignment horizontal="center" vertical="center" wrapText="1"/>
    </xf>
    <xf numFmtId="0" fontId="8" fillId="8" borderId="23" xfId="0" applyFont="1" applyFill="1" applyBorder="1" applyAlignment="1">
      <alignment horizontal="center" vertical="center" wrapText="1"/>
    </xf>
    <xf numFmtId="0" fontId="17" fillId="8" borderId="2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_Расчет инфляции" xfId="1"/>
    <cellStyle name="Процентный" xfId="2" builtinId="5"/>
  </cellStyles>
  <dxfs count="518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0070C0"/>
      </font>
      <fill>
        <patternFill>
          <bgColor rgb="FFFF0000"/>
        </patternFill>
      </fill>
      <border>
        <left style="dashDot">
          <color auto="1"/>
        </left>
        <right style="dashDot">
          <color auto="1"/>
        </right>
        <top style="dashDot">
          <color auto="1"/>
        </top>
        <bottom style="dashDot">
          <color auto="1"/>
        </bottom>
        <vertical/>
        <horizontal/>
      </border>
    </dxf>
    <dxf>
      <font>
        <b/>
        <i val="0"/>
        <color rgb="FFFF0000"/>
      </font>
      <fill>
        <patternFill patternType="none">
          <bgColor auto="1"/>
        </patternFill>
      </fill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/>
        <i val="0"/>
        <color rgb="FFFF000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31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lor rgb="FFFF000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3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/>
        <i val="0"/>
        <color rgb="FFFF000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31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lor rgb="FFFF000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3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/>
        <i val="0"/>
        <color rgb="FFFF000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31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lor rgb="FFFF000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3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 val="0"/>
        <i val="0"/>
        <condense val="0"/>
        <extend val="0"/>
        <color auto="1"/>
      </font>
    </dxf>
    <dxf>
      <font>
        <b/>
        <i val="0"/>
        <color rgb="FFFF000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31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lor rgb="FFFF000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31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31"/>
        </patternFill>
      </fill>
    </dxf>
    <dxf>
      <font>
        <b val="0"/>
        <i val="0"/>
        <condense val="0"/>
        <extend val="0"/>
        <color auto="1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66"/>
      <color rgb="FF99FF66"/>
      <color rgb="FFFF999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u\Obmen\&#1062;&#1077;&#1085;&#1072;%20&#1047;&#1072;&#1082;&#1072;&#1079;&#1095;&#1080;&#1082;&#1072;\&#1056;&#1072;&#1089;&#1095;&#1077;&#1090;%20&#1094;&#1077;&#1085;&#1099;%20%20&#1047;&#1072;&#1082;&#1072;&#1079;&#1095;&#1080;&#1082;&#1072;%20&#1087;&#1086;%20&#1050;&#1072;&#1083;&#1080;&#1085;&#1080;&#1085;&#1089;&#1082;&#1086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ъекты"/>
      <sheetName val="Цена Заказчика"/>
      <sheetName val="Ресурсы"/>
      <sheetName val="Лимитированные затраты"/>
      <sheetName val="Оплата труда"/>
      <sheetName val="Инфляция"/>
      <sheetName val="Лист17"/>
      <sheetName val="Лист16"/>
      <sheetName val="Лист15"/>
      <sheetName val="Лист14"/>
      <sheetName val="Лист13"/>
      <sheetName val="Лист12"/>
      <sheetName val="Лист10"/>
      <sheetName val="Лист9"/>
      <sheetName val="Лист8"/>
      <sheetName val="Лист7"/>
      <sheetName val="Лист6"/>
      <sheetName val="Лист5"/>
      <sheetName val="Лист3"/>
    </sheetNames>
    <sheetDataSet>
      <sheetData sheetId="0" refreshError="1">
        <row r="3">
          <cell r="A3">
            <v>1</v>
          </cell>
          <cell r="C3" t="str">
            <v>Абинский</v>
          </cell>
          <cell r="D3" t="str">
            <v>Федоровская-Холмский км 19+800-28+700</v>
          </cell>
          <cell r="F3" t="str">
            <v>Поверхностная обработка (II вариант)</v>
          </cell>
          <cell r="G3" t="str">
            <v>Район: Абинский \ Федоровская-Холмский км 19+800-28+700 \ Поверхностная обработка (II вариант)</v>
          </cell>
          <cell r="H3">
            <v>36982</v>
          </cell>
          <cell r="I3">
            <v>37165</v>
          </cell>
          <cell r="J3">
            <v>37072</v>
          </cell>
        </row>
        <row r="4">
          <cell r="A4">
            <v>2</v>
          </cell>
          <cell r="C4" t="str">
            <v>Абинский</v>
          </cell>
          <cell r="D4" t="str">
            <v>Абинск - Варнавинское  водохранилище км 10+100-18+200</v>
          </cell>
          <cell r="F4" t="str">
            <v>Поверхностная обработка (II вариант)</v>
          </cell>
          <cell r="G4" t="str">
            <v>Район: Абинский \ Абинск - Варнавинское  водохранилище км 10+100-18+200 \ Поверхностная обработка (II вариант)</v>
          </cell>
          <cell r="H4">
            <v>36982</v>
          </cell>
          <cell r="I4">
            <v>37165</v>
          </cell>
          <cell r="J4">
            <v>37072</v>
          </cell>
        </row>
        <row r="5">
          <cell r="A5">
            <v>3</v>
          </cell>
          <cell r="C5" t="str">
            <v>Абинский</v>
          </cell>
          <cell r="D5" t="str">
            <v>Абинск - Шапсугская ;  км: 0+000-1+500</v>
          </cell>
          <cell r="F5" t="str">
            <v>Поверхностная обработка (II вариант)</v>
          </cell>
          <cell r="G5" t="str">
            <v>Район: Абинский \ Абинск - Шапсугская ;  км: 0+000-1+500 \ Поверхностная обработка (II вариант)</v>
          </cell>
          <cell r="H5">
            <v>36982</v>
          </cell>
          <cell r="I5">
            <v>37165</v>
          </cell>
          <cell r="J5">
            <v>37072</v>
          </cell>
        </row>
        <row r="6">
          <cell r="A6">
            <v>4</v>
          </cell>
          <cell r="C6" t="str">
            <v>Абинский</v>
          </cell>
          <cell r="D6" t="str">
            <v>Федоровская - Холмский - Новый ;  км: 35+800-38+800</v>
          </cell>
          <cell r="F6" t="str">
            <v>Облегченный ремонт - III вариант</v>
          </cell>
          <cell r="G6" t="str">
            <v>Район: Абинский \ Федоровская - Холмский - Новый ;  км: 35+800-38+800 \ Облегченный ремонт - III вариант</v>
          </cell>
          <cell r="H6">
            <v>36982</v>
          </cell>
          <cell r="I6">
            <v>37165</v>
          </cell>
          <cell r="J6">
            <v>37072</v>
          </cell>
        </row>
        <row r="7">
          <cell r="A7">
            <v>5</v>
          </cell>
          <cell r="C7" t="str">
            <v>Анапский</v>
          </cell>
          <cell r="D7" t="str">
            <v>Андреева Гора - Варениковская - Анапа ;  км: 31+000-34+000 ; 36+000-39+700</v>
          </cell>
          <cell r="F7" t="str">
            <v>Облегченный ремонт - III вариант</v>
          </cell>
          <cell r="G7" t="str">
            <v>Район: Анапский \ Андреева Гора - Варениковская - Анапа ;  км: 31+000-34+000 ; 36+000-39+700 \ Облегченный ремонт - III вариант</v>
          </cell>
          <cell r="H7">
            <v>36982</v>
          </cell>
          <cell r="I7">
            <v>37165</v>
          </cell>
          <cell r="J7">
            <v>37072</v>
          </cell>
        </row>
        <row r="8">
          <cell r="A8">
            <v>6</v>
          </cell>
          <cell r="C8" t="str">
            <v>Анапский</v>
          </cell>
          <cell r="D8" t="str">
            <v>Подъезд к х.Черный 0+000-5+339</v>
          </cell>
          <cell r="F8" t="str">
            <v>Поверхностная обработка (II вариант)</v>
          </cell>
          <cell r="G8" t="str">
            <v>Район: Анапский \ Подъезд к х.Черный 0+000-5+339 \ Поверхностная обработка (II вариант)</v>
          </cell>
          <cell r="H8">
            <v>36982</v>
          </cell>
          <cell r="I8">
            <v>37165</v>
          </cell>
          <cell r="J8">
            <v>37072</v>
          </cell>
        </row>
        <row r="9">
          <cell r="A9">
            <v>7</v>
          </cell>
          <cell r="C9" t="str">
            <v>Анапский</v>
          </cell>
          <cell r="D9" t="str">
            <v>Подъезд к х.Чеконь  км  0+000-2+385</v>
          </cell>
          <cell r="F9" t="str">
            <v>Поверхностная обработка (II вариант)</v>
          </cell>
          <cell r="G9" t="str">
            <v>Район: Анапский \ Подъезд к х.Чеконь  км  0+000-2+385 \ Поверхностная обработка (II вариант)</v>
          </cell>
          <cell r="H9">
            <v>36982</v>
          </cell>
          <cell r="I9">
            <v>37165</v>
          </cell>
          <cell r="J9">
            <v>37072</v>
          </cell>
        </row>
        <row r="10">
          <cell r="A10">
            <v>8</v>
          </cell>
          <cell r="C10" t="str">
            <v>Анапский</v>
          </cell>
          <cell r="D10" t="str">
            <v xml:space="preserve">Подъезд к х. Пятихатки  км  0+000-2+234 </v>
          </cell>
          <cell r="F10" t="str">
            <v>Поверхностная обработка (II вариант)</v>
          </cell>
          <cell r="G10" t="str">
            <v>Район: Анапский \ Подъезд к х. Пятихатки  км  0+000-2+234  \ Поверхностная обработка (II вариант)</v>
          </cell>
          <cell r="H10">
            <v>36982</v>
          </cell>
          <cell r="I10">
            <v>37165</v>
          </cell>
          <cell r="J10">
            <v>37072</v>
          </cell>
        </row>
        <row r="11">
          <cell r="A11">
            <v>9</v>
          </cell>
          <cell r="C11" t="str">
            <v>Анапский</v>
          </cell>
          <cell r="D11" t="str">
            <v xml:space="preserve">Подъезд к п.Витязево 0+000-3+066 </v>
          </cell>
          <cell r="F11" t="str">
            <v>Поверхностная обработка (II вариант)</v>
          </cell>
          <cell r="G11" t="str">
            <v>Район: Анапский \ Подъезд к п.Витязево 0+000-3+066  \ Поверхностная обработка (II вариант)</v>
          </cell>
          <cell r="H11">
            <v>36982</v>
          </cell>
          <cell r="I11">
            <v>37165</v>
          </cell>
          <cell r="J11">
            <v>37072</v>
          </cell>
        </row>
        <row r="12">
          <cell r="A12">
            <v>10</v>
          </cell>
          <cell r="C12" t="str">
            <v>Анапский</v>
          </cell>
          <cell r="D12" t="str">
            <v>Подъезд  к х. Цибанобалка  км 0+000-2+081</v>
          </cell>
          <cell r="F12" t="str">
            <v>Поверхностная обработка (II вариант)</v>
          </cell>
          <cell r="G12" t="str">
            <v>Район: Анапский \ Подъезд  к х. Цибанобалка  км 0+000-2+081 \ Поверхностная обработка (II вариант)</v>
          </cell>
          <cell r="H12">
            <v>36982</v>
          </cell>
          <cell r="I12">
            <v>37165</v>
          </cell>
          <cell r="J12">
            <v>37072</v>
          </cell>
        </row>
        <row r="13">
          <cell r="A13">
            <v>11</v>
          </cell>
          <cell r="C13" t="str">
            <v>Анапский</v>
          </cell>
          <cell r="D13" t="str">
            <v>Юровка - Раевская - Волчьи Ворота ;  км: 13+375-18+675</v>
          </cell>
          <cell r="F13" t="str">
            <v>Уширение земполотна и проезжей части (комплекс)</v>
          </cell>
          <cell r="G13" t="str">
            <v>Район: Анапский \ Юровка - Раевская - Волчьи Ворота ;  км: 13+375-18+675 \ Уширение земполотна и проезжей части (комплекс)</v>
          </cell>
          <cell r="H13">
            <v>36982</v>
          </cell>
          <cell r="I13">
            <v>37165</v>
          </cell>
          <cell r="J13">
            <v>37072</v>
          </cell>
        </row>
        <row r="14">
          <cell r="A14">
            <v>12</v>
          </cell>
          <cell r="C14" t="str">
            <v>Апшеронский</v>
          </cell>
          <cell r="D14" t="str">
            <v>Кубанская - Саратовская ;  км: 10+000-12+500</v>
          </cell>
          <cell r="F14" t="str">
            <v>Поверхностная обработка (II вариант)</v>
          </cell>
          <cell r="G14" t="str">
            <v>Район: Апшеронский \ Кубанская - Саратовская ;  км: 10+000-12+500 \ Поверхностная обработка (II вариант)</v>
          </cell>
          <cell r="H14">
            <v>36982</v>
          </cell>
          <cell r="I14">
            <v>37165</v>
          </cell>
          <cell r="J14">
            <v>37072</v>
          </cell>
        </row>
        <row r="15">
          <cell r="A15">
            <v>13</v>
          </cell>
          <cell r="C15" t="str">
            <v>Апшеронский</v>
          </cell>
          <cell r="D15" t="str">
            <v>Апшеронск-Ширванская ;  км: 5+300-12+300</v>
          </cell>
          <cell r="F15" t="str">
            <v>Поверхностная обработка (II вариант)</v>
          </cell>
          <cell r="G15" t="str">
            <v>Район: Апшеронский \ Апшеронск-Ширванская ;  км: 5+300-12+300 \ Поверхностная обработка (II вариант)</v>
          </cell>
          <cell r="H15">
            <v>36982</v>
          </cell>
          <cell r="I15">
            <v>37165</v>
          </cell>
          <cell r="J15">
            <v>37072</v>
          </cell>
        </row>
        <row r="16">
          <cell r="A16">
            <v>14</v>
          </cell>
          <cell r="C16" t="str">
            <v>Апшеронский</v>
          </cell>
          <cell r="D16" t="str">
            <v>Майкоп - Туапсе ;  км: 164+300-165+000</v>
          </cell>
          <cell r="F16" t="str">
            <v>Поверхностная обработка (II вариант)</v>
          </cell>
          <cell r="G16" t="str">
            <v>Район: Апшеронский \ Майкоп - Туапсе ;  км: 164+300-165+000 \ Поверхностная обработка (II вариант)</v>
          </cell>
          <cell r="H16">
            <v>36982</v>
          </cell>
          <cell r="I16">
            <v>37165</v>
          </cell>
          <cell r="J16">
            <v>37072</v>
          </cell>
        </row>
        <row r="17">
          <cell r="A17">
            <v>15</v>
          </cell>
          <cell r="C17" t="str">
            <v>Апшеронский</v>
          </cell>
          <cell r="D17" t="str">
            <v>Майкоп - Туапсе ;  км: 173+000-180+000</v>
          </cell>
          <cell r="F17" t="str">
            <v>Поверхностная обработка (II вариант)</v>
          </cell>
          <cell r="G17" t="str">
            <v>Район: Апшеронский \ Майкоп - Туапсе ;  км: 173+000-180+000 \ Поверхностная обработка (II вариант)</v>
          </cell>
          <cell r="H17">
            <v>36982</v>
          </cell>
          <cell r="I17">
            <v>37165</v>
          </cell>
          <cell r="J17">
            <v>37072</v>
          </cell>
        </row>
        <row r="18">
          <cell r="A18">
            <v>16</v>
          </cell>
          <cell r="C18" t="str">
            <v>Апшеронский</v>
          </cell>
          <cell r="D18" t="str">
            <v>Подъезд к АБЗ ;  км: 0+000-1+200</v>
          </cell>
          <cell r="F18" t="str">
            <v>Поверхностная обработка (II вариант)</v>
          </cell>
          <cell r="G18" t="str">
            <v>Район: Апшеронский \ Подъезд к АБЗ ;  км: 0+000-1+200 \ Поверхностная обработка (II вариант)</v>
          </cell>
          <cell r="H18">
            <v>36982</v>
          </cell>
          <cell r="I18">
            <v>37165</v>
          </cell>
          <cell r="J18">
            <v>37072</v>
          </cell>
        </row>
        <row r="19">
          <cell r="A19">
            <v>17</v>
          </cell>
          <cell r="C19" t="str">
            <v>Апшеронский</v>
          </cell>
          <cell r="D19" t="str">
            <v>Кубанская - Саратовская ;  км: 12+500-16+300</v>
          </cell>
          <cell r="F19" t="str">
            <v>Поверхностная обработка (II вариант)</v>
          </cell>
          <cell r="G19" t="str">
            <v>Район: Апшеронский \ Кубанская - Саратовская ;  км: 12+500-16+300 \ Поверхностная обработка (II вариант)</v>
          </cell>
          <cell r="H19">
            <v>36982</v>
          </cell>
          <cell r="I19">
            <v>37165</v>
          </cell>
          <cell r="J19">
            <v>37072</v>
          </cell>
        </row>
        <row r="20">
          <cell r="A20">
            <v>18</v>
          </cell>
          <cell r="C20" t="str">
            <v>Апшеронский</v>
          </cell>
          <cell r="D20" t="str">
            <v>Кубанская - Саратовская ;  км: 7+000-10+000</v>
          </cell>
          <cell r="F20" t="str">
            <v>Облегченный ремонт - III вариант</v>
          </cell>
          <cell r="G20" t="str">
            <v>Район: Апшеронский \ Кубанская - Саратовская ;  км: 7+000-10+000 \ Облегченный ремонт - III вариант</v>
          </cell>
          <cell r="H20">
            <v>36982</v>
          </cell>
          <cell r="I20">
            <v>37165</v>
          </cell>
          <cell r="J20">
            <v>37072</v>
          </cell>
        </row>
        <row r="21">
          <cell r="A21">
            <v>19</v>
          </cell>
          <cell r="C21" t="str">
            <v>Апшеронский</v>
          </cell>
          <cell r="D21" t="str">
            <v>Горячий Ключ - Хадыженск ;  км: 39+000-45+500 (на участке 43+500-45+500)</v>
          </cell>
          <cell r="F21" t="str">
            <v>Капитальный ремонт с усилением дорожной одежды</v>
          </cell>
          <cell r="G21" t="str">
            <v>Район: Апшеронский \ Горячий Ключ - Хадыженск ;  км: 39+000-45+500 (на участке 43+500-45+500) \ Капитальный ремонт с усилением дорожной одежды</v>
          </cell>
          <cell r="H21">
            <v>36982</v>
          </cell>
          <cell r="I21">
            <v>37165</v>
          </cell>
          <cell r="J21">
            <v>37072</v>
          </cell>
        </row>
        <row r="22">
          <cell r="A22">
            <v>20</v>
          </cell>
          <cell r="C22" t="str">
            <v>Белоглинский</v>
          </cell>
          <cell r="D22" t="str">
            <v>Центральный - а/д "Ростов-Ставрополь" ;  км: 12+080-17+378</v>
          </cell>
          <cell r="F22" t="str">
            <v>Поверхностная обработка (II вариант)</v>
          </cell>
          <cell r="G22" t="str">
            <v>Район: Белоглинский \ Центральный - а/д "Ростов-Ставрополь" ;  км: 12+080-17+378 \ Поверхностная обработка (II вариант)</v>
          </cell>
          <cell r="H22">
            <v>36982</v>
          </cell>
          <cell r="I22">
            <v>37165</v>
          </cell>
          <cell r="J22">
            <v>37072</v>
          </cell>
        </row>
        <row r="23">
          <cell r="A23">
            <v>21</v>
          </cell>
          <cell r="C23" t="str">
            <v>Белоглинский</v>
          </cell>
          <cell r="D23" t="str">
            <v>Новопавловка-Кулешовка ;  км: 2+500-4+000</v>
          </cell>
          <cell r="F23" t="str">
            <v>Поверхностная обработка (II вариант)</v>
          </cell>
          <cell r="G23" t="str">
            <v>Район: Белоглинский \ Новопавловка-Кулешовка ;  км: 2+500-4+000 \ Поверхностная обработка (II вариант)</v>
          </cell>
          <cell r="H23">
            <v>36982</v>
          </cell>
          <cell r="I23">
            <v>37165</v>
          </cell>
          <cell r="J23">
            <v>37072</v>
          </cell>
        </row>
        <row r="24">
          <cell r="A24">
            <v>22</v>
          </cell>
          <cell r="C24" t="str">
            <v>Белоглинский</v>
          </cell>
          <cell r="D24" t="str">
            <v>Селекционный-Семеноводческий ;  км: 0+000-6+000</v>
          </cell>
          <cell r="F24" t="str">
            <v>Поверхностная обработка (II вариант)</v>
          </cell>
          <cell r="G24" t="str">
            <v>Район: Белоглинский \ Селекционный-Семеноводческий ;  км: 0+000-6+000 \ Поверхностная обработка (II вариант)</v>
          </cell>
          <cell r="H24">
            <v>36982</v>
          </cell>
          <cell r="I24">
            <v>37165</v>
          </cell>
          <cell r="J24">
            <v>37072</v>
          </cell>
        </row>
        <row r="25">
          <cell r="A25">
            <v>23</v>
          </cell>
          <cell r="C25" t="str">
            <v>Белоглинский</v>
          </cell>
          <cell r="D25" t="str">
            <v>Сальск - Тихорецк ;  км: 4+715-11+915</v>
          </cell>
          <cell r="F25" t="str">
            <v>Поверхностная обработка (II вариант)</v>
          </cell>
          <cell r="G25" t="str">
            <v>Район: Белоглинский \ Сальск - Тихорецк ;  км: 4+715-11+915 \ Поверхностная обработка (II вариант)</v>
          </cell>
          <cell r="H25">
            <v>36982</v>
          </cell>
          <cell r="I25">
            <v>37165</v>
          </cell>
          <cell r="J25">
            <v>37072</v>
          </cell>
        </row>
        <row r="26">
          <cell r="A26">
            <v>24</v>
          </cell>
          <cell r="C26" t="str">
            <v>Белоглинский</v>
          </cell>
          <cell r="D26" t="str">
            <v>Новопавловка - Кулешовка ;  км: 8+000-10+900</v>
          </cell>
          <cell r="F26" t="str">
            <v>Облегченный ремонт - III вариант</v>
          </cell>
          <cell r="G26" t="str">
            <v>Район: Белоглинский \ Новопавловка - Кулешовка ;  км: 8+000-10+900 \ Облегченный ремонт - III вариант</v>
          </cell>
          <cell r="H26">
            <v>36982</v>
          </cell>
          <cell r="I26">
            <v>37165</v>
          </cell>
          <cell r="J26">
            <v>37072</v>
          </cell>
        </row>
        <row r="27">
          <cell r="A27">
            <v>25</v>
          </cell>
          <cell r="C27" t="str">
            <v>Белореченский</v>
          </cell>
          <cell r="D27" t="str">
            <v>Гурийская - Черниговская - Рязанская ;  км: 32+900-37+600</v>
          </cell>
          <cell r="F27" t="str">
            <v>Поверхностная обработка (II вариант)</v>
          </cell>
          <cell r="G27" t="str">
            <v>Район: Белореченский \ Гурийская - Черниговская - Рязанская ;  км: 32+900-37+600 \ Поверхностная обработка (II вариант)</v>
          </cell>
          <cell r="H27">
            <v>36982</v>
          </cell>
          <cell r="I27">
            <v>37165</v>
          </cell>
          <cell r="J27">
            <v>37072</v>
          </cell>
        </row>
        <row r="28">
          <cell r="A28">
            <v>26</v>
          </cell>
          <cell r="C28" t="str">
            <v>Белореченский</v>
          </cell>
          <cell r="D28" t="str">
            <v>Белореченск - Апшеронск ;  км: 11+000-16+200</v>
          </cell>
          <cell r="F28" t="str">
            <v>Облегченный ремонт - III вариант</v>
          </cell>
          <cell r="G28" t="str">
            <v>Район: Белореченский \ Белореченск - Апшеронск ;  км: 11+000-16+200 \ Облегченный ремонт - III вариант</v>
          </cell>
          <cell r="H28">
            <v>36982</v>
          </cell>
          <cell r="I28">
            <v>37165</v>
          </cell>
          <cell r="J28">
            <v>37072</v>
          </cell>
        </row>
        <row r="29">
          <cell r="A29">
            <v>27</v>
          </cell>
          <cell r="C29" t="str">
            <v>Брюховецкий</v>
          </cell>
          <cell r="D29" t="str">
            <v>Новоджерилиевская - Брюховецкая - Батуринская ;  км: 22+000-37+000</v>
          </cell>
          <cell r="F29" t="str">
            <v>Поверхностная обработка (II вариант)</v>
          </cell>
          <cell r="G29" t="str">
            <v>Район: Брюховецкий \ Новоджерилиевская - Брюховецкая - Батуринская ;  км: 22+000-37+000 \ Поверхностная обработка (II вариант)</v>
          </cell>
          <cell r="H29">
            <v>36982</v>
          </cell>
          <cell r="I29">
            <v>37165</v>
          </cell>
          <cell r="J29">
            <v>37072</v>
          </cell>
        </row>
        <row r="30">
          <cell r="A30">
            <v>28</v>
          </cell>
          <cell r="C30" t="str">
            <v>Брюховецкий</v>
          </cell>
          <cell r="D30" t="str">
            <v>Батуринское-Новое Село ;  км: 4+000-20+000 (на участке с 12+000-16+000)</v>
          </cell>
          <cell r="F30" t="str">
            <v>Капитальный ремонт с усилением дорожной одежды</v>
          </cell>
          <cell r="G30" t="str">
            <v>Район: Брюховецкий \ Батуринское-Новое Село ;  км: 4+000-20+000 (на участке с 12+000-16+000) \ Капитальный ремонт с усилением дорожной одежды</v>
          </cell>
          <cell r="H30">
            <v>36982</v>
          </cell>
          <cell r="I30">
            <v>37165</v>
          </cell>
          <cell r="J30">
            <v>37072</v>
          </cell>
        </row>
        <row r="31">
          <cell r="A31">
            <v>29</v>
          </cell>
          <cell r="C31" t="str">
            <v>Выселковский</v>
          </cell>
          <cell r="D31" t="str">
            <v>Журавская - Тихорецк ;  км: 42+000-47+830</v>
          </cell>
          <cell r="F31" t="str">
            <v>Поверхностная обработка (II вариант)</v>
          </cell>
          <cell r="G31" t="str">
            <v>Район: Выселковский \ Журавская - Тихорецк ;  км: 42+000-47+830 \ Поверхностная обработка (II вариант)</v>
          </cell>
          <cell r="H31">
            <v>36982</v>
          </cell>
          <cell r="I31">
            <v>37165</v>
          </cell>
          <cell r="J31">
            <v>37072</v>
          </cell>
        </row>
        <row r="32">
          <cell r="A32">
            <v>30</v>
          </cell>
          <cell r="C32" t="str">
            <v>Выселковский</v>
          </cell>
          <cell r="D32" t="str">
            <v>Бейсуг - Новомалороссийская - Новогражданская ;  км: 13+000-15+000 ; 18+000-22+830</v>
          </cell>
          <cell r="F32" t="str">
            <v>Поверхностная обработка (II вариант)</v>
          </cell>
          <cell r="G32" t="str">
            <v>Район: Выселковский \ Бейсуг - Новомалороссийская - Новогражданская ;  км: 13+000-15+000 ; 18+000-22+830 \ Поверхностная обработка (II вариант)</v>
          </cell>
          <cell r="H32">
            <v>36982</v>
          </cell>
          <cell r="I32">
            <v>37165</v>
          </cell>
          <cell r="J32">
            <v>37072</v>
          </cell>
        </row>
        <row r="33">
          <cell r="A33">
            <v>31</v>
          </cell>
          <cell r="C33" t="str">
            <v>Выселковский</v>
          </cell>
          <cell r="D33" t="str">
            <v>Выселки - Новобейсугская ;  км: 21+000-28+556</v>
          </cell>
          <cell r="F33" t="str">
            <v>Поверхностная обработка (II вариант)</v>
          </cell>
          <cell r="G33" t="str">
            <v>Район: Выселковский \ Выселки - Новобейсугская ;  км: 21+000-28+556 \ Поверхностная обработка (II вариант)</v>
          </cell>
          <cell r="H33">
            <v>36982</v>
          </cell>
          <cell r="I33">
            <v>37165</v>
          </cell>
          <cell r="J33">
            <v>37072</v>
          </cell>
        </row>
        <row r="34">
          <cell r="A34">
            <v>32</v>
          </cell>
          <cell r="C34" t="str">
            <v>г.Геленджик</v>
          </cell>
          <cell r="D34" t="str">
            <v>Подъезд к а.Широкая Щель ;  км: 0+000-2+280</v>
          </cell>
          <cell r="F34" t="str">
            <v>Поверхностная обработка (I вариант)</v>
          </cell>
          <cell r="G34" t="str">
            <v>Район: г.Геленджик \ Подъезд к а.Широкая Щель ;  км: 0+000-2+280 \ Поверхностная обработка (I вариант)</v>
          </cell>
          <cell r="H34">
            <v>36982</v>
          </cell>
          <cell r="I34">
            <v>37165</v>
          </cell>
          <cell r="J34">
            <v>37072</v>
          </cell>
        </row>
        <row r="35">
          <cell r="A35">
            <v>33</v>
          </cell>
          <cell r="C35" t="str">
            <v>г.Геленджик</v>
          </cell>
          <cell r="D35" t="str">
            <v>Подъезд к с.Марьина Роща км 0+000-1+655</v>
          </cell>
          <cell r="F35" t="str">
            <v>Поверхностная обработка (I вариант)</v>
          </cell>
          <cell r="G35" t="str">
            <v>Район: г.Геленджик \ Подъезд к с.Марьина Роща км 0+000-1+655 \ Поверхностная обработка (I вариант)</v>
          </cell>
          <cell r="H35">
            <v>36982</v>
          </cell>
          <cell r="I35">
            <v>37165</v>
          </cell>
          <cell r="J35">
            <v>37072</v>
          </cell>
        </row>
        <row r="36">
          <cell r="A36">
            <v>34</v>
          </cell>
          <cell r="C36" t="str">
            <v>г.Геленджик</v>
          </cell>
          <cell r="D36" t="str">
            <v>Джанхот - Прасковеевка ;  км: 0+000-12+400 (на участке 0+000-4+000)</v>
          </cell>
          <cell r="F36" t="str">
            <v>Перевод гравийных и щебеночных дорог в а/б с пов.обр</v>
          </cell>
          <cell r="G36" t="str">
            <v>Район: г.Геленджик \ Джанхот - Прасковеевка ;  км: 0+000-12+400 (на участке 0+000-4+000) \ Перевод гравийных и щебеночных дорог в а/б с пов.обр</v>
          </cell>
          <cell r="H36">
            <v>36982</v>
          </cell>
          <cell r="I36">
            <v>37165</v>
          </cell>
          <cell r="J36">
            <v>37072</v>
          </cell>
        </row>
        <row r="37">
          <cell r="A37">
            <v>35</v>
          </cell>
          <cell r="C37" t="str">
            <v>г.Геленджик</v>
          </cell>
          <cell r="D37" t="str">
            <v>Подъезд к а.Широкая Щель ;  км: 2+280</v>
          </cell>
          <cell r="F37" t="str">
            <v>Устройство площадок для стоянки и остановки а/м</v>
          </cell>
          <cell r="G37" t="str">
            <v>Район: г.Геленджик \ Подъезд к а.Широкая Щель ;  км: 2+280 \ Устройство площадок для стоянки и остановки а/м</v>
          </cell>
          <cell r="H37">
            <v>36982</v>
          </cell>
          <cell r="I37">
            <v>37165</v>
          </cell>
          <cell r="J37">
            <v>37072</v>
          </cell>
        </row>
        <row r="38">
          <cell r="A38">
            <v>36</v>
          </cell>
          <cell r="C38" t="str">
            <v>г.Геленджик</v>
          </cell>
          <cell r="D38" t="str">
            <v>Подъезд к с.Марьина Роща км 0+800</v>
          </cell>
          <cell r="F38" t="str">
            <v>Устройство остановочных площадок</v>
          </cell>
          <cell r="G38" t="str">
            <v>Район: г.Геленджик \ Подъезд к с.Марьина Роща км 0+800 \ Устройство остановочных площадок</v>
          </cell>
          <cell r="H38">
            <v>36982</v>
          </cell>
          <cell r="I38">
            <v>37165</v>
          </cell>
          <cell r="J38">
            <v>37072</v>
          </cell>
        </row>
        <row r="39">
          <cell r="A39">
            <v>37</v>
          </cell>
          <cell r="C39" t="str">
            <v>г.Геленджик</v>
          </cell>
          <cell r="D39" t="str">
            <v>Магистраль "Дон" - Джанхот ;  км:0+020, 2+645,5+777</v>
          </cell>
          <cell r="F39" t="str">
            <v>Ремонт остановочных площадок</v>
          </cell>
          <cell r="G39" t="str">
            <v>Район: г.Геленджик \ Магистраль "Дон" - Джанхот ;  км:0+020, 2+645,5+777 \ Ремонт остановочных площадок</v>
          </cell>
          <cell r="H39">
            <v>36982</v>
          </cell>
          <cell r="I39">
            <v>37165</v>
          </cell>
          <cell r="J39">
            <v>37072</v>
          </cell>
        </row>
        <row r="40">
          <cell r="A40">
            <v>38</v>
          </cell>
          <cell r="C40" t="str">
            <v>г.Горячий Ключ</v>
          </cell>
          <cell r="D40" t="str">
            <v>Саратовская - Мартанская ;  км: 0+000-19+900 (на участке 0+000-9+000)</v>
          </cell>
          <cell r="F40" t="str">
            <v>Поверхностная обработка (II вариант)</v>
          </cell>
          <cell r="G40" t="str">
            <v>Район: г.Горячий Ключ \ Саратовская - Мартанская ;  км: 0+000-19+900 (на участке 0+000-9+000) \ Поверхностная обработка (II вариант)</v>
          </cell>
          <cell r="H40">
            <v>36982</v>
          </cell>
          <cell r="I40">
            <v>37165</v>
          </cell>
          <cell r="J40">
            <v>37072</v>
          </cell>
        </row>
        <row r="41">
          <cell r="A41">
            <v>39</v>
          </cell>
          <cell r="C41" t="str">
            <v>г.Горячий Ключ</v>
          </cell>
          <cell r="D41" t="str">
            <v>Саратовская - Горячий Ключ ;  км: 0+000-15+500 (на участке 1+000-5+000)</v>
          </cell>
          <cell r="F41" t="str">
            <v>Поверхностная обработка (II вариант)</v>
          </cell>
          <cell r="G41" t="str">
            <v>Район: г.Горячий Ключ \ Саратовская - Горячий Ключ ;  км: 0+000-15+500 (на участке 1+000-5+000) \ Поверхностная обработка (II вариант)</v>
          </cell>
          <cell r="H41">
            <v>36982</v>
          </cell>
          <cell r="I41">
            <v>37165</v>
          </cell>
          <cell r="J41">
            <v>37072</v>
          </cell>
        </row>
        <row r="42">
          <cell r="A42">
            <v>40</v>
          </cell>
          <cell r="C42" t="str">
            <v>г.Горячий Ключ</v>
          </cell>
          <cell r="D42" t="str">
            <v>Горячий Ключ - Хадыженск ;  км: 20+700-25+500 (на участке 22+700-23+700)</v>
          </cell>
          <cell r="F42" t="str">
            <v>Уширение земполотна и проезжей части (комплекс)</v>
          </cell>
          <cell r="G42" t="str">
            <v>Район: г.Горячий Ключ \ Горячий Ключ - Хадыженск ;  км: 20+700-25+500 (на участке 22+700-23+700) \ Уширение земполотна и проезжей части (комплекс)</v>
          </cell>
          <cell r="H42">
            <v>36982</v>
          </cell>
          <cell r="I42">
            <v>37165</v>
          </cell>
          <cell r="J42">
            <v>37072</v>
          </cell>
        </row>
        <row r="43">
          <cell r="A43">
            <v>41</v>
          </cell>
          <cell r="C43" t="str">
            <v>г.Горячий Ключ</v>
          </cell>
          <cell r="D43" t="str">
            <v>Горячий Ключ - Хадыженск ;  км: 6+200 ; 13+100</v>
          </cell>
          <cell r="F43" t="str">
            <v>Устройство автопавильонов</v>
          </cell>
          <cell r="G43" t="str">
            <v>Район: г.Горячий Ключ \ Горячий Ключ - Хадыженск ;  км: 6+200 ; 13+100 \ Устройство автопавильонов</v>
          </cell>
          <cell r="H43">
            <v>36982</v>
          </cell>
          <cell r="I43">
            <v>37165</v>
          </cell>
          <cell r="J43">
            <v>37072</v>
          </cell>
        </row>
        <row r="44">
          <cell r="A44">
            <v>42</v>
          </cell>
          <cell r="C44" t="str">
            <v>г.Горячий Ключ</v>
          </cell>
          <cell r="D44" t="str">
            <v>Саратовская - Мартанская ;  км: 1+900; 20+100</v>
          </cell>
          <cell r="F44" t="str">
            <v>Устройство автопавильонов</v>
          </cell>
          <cell r="G44" t="str">
            <v>Район: г.Горячий Ключ \ Саратовская - Мартанская ;  км: 1+900; 20+100 \ Устройство автопавильонов</v>
          </cell>
          <cell r="H44">
            <v>36982</v>
          </cell>
          <cell r="I44">
            <v>37165</v>
          </cell>
          <cell r="J44">
            <v>37072</v>
          </cell>
        </row>
        <row r="45">
          <cell r="A45">
            <v>43</v>
          </cell>
          <cell r="C45" t="str">
            <v>г.Краснодар</v>
          </cell>
          <cell r="D45" t="str">
            <v>Темрюк - Краснодар - Кропоткин ;  км: 163+000-164+200 ; 165+200-168+000 ; 171+000-176+000 ; 178+000-180+000</v>
          </cell>
          <cell r="F45" t="str">
            <v>Поверхностная обработка (II вариант)</v>
          </cell>
          <cell r="G45" t="str">
            <v>Район: г.Краснодар \ Темрюк - Краснодар - Кропоткин ;  км: 163+000-164+200 ; 165+200-168+000 ; 171+000-176+000 ; 178+000-180+000 \ Поверхностная обработка (II вариант)</v>
          </cell>
          <cell r="H45">
            <v>36982</v>
          </cell>
          <cell r="I45">
            <v>37165</v>
          </cell>
          <cell r="J45">
            <v>37072</v>
          </cell>
        </row>
        <row r="46">
          <cell r="A46">
            <v>44</v>
          </cell>
          <cell r="C46" t="str">
            <v>г.Краснодар</v>
          </cell>
          <cell r="D46" t="str">
            <v>Подъезд к п.Пригородный ;  км: 3+000-6+800</v>
          </cell>
          <cell r="F46" t="str">
            <v>Поверхностная обработка (II вариант)</v>
          </cell>
          <cell r="G46" t="str">
            <v>Район: г.Краснодар \ Подъезд к п.Пригородный ;  км: 3+000-6+800 \ Поверхностная обработка (II вариант)</v>
          </cell>
          <cell r="H46">
            <v>36982</v>
          </cell>
          <cell r="I46">
            <v>37165</v>
          </cell>
          <cell r="J46">
            <v>37072</v>
          </cell>
        </row>
        <row r="47">
          <cell r="A47">
            <v>45</v>
          </cell>
          <cell r="C47" t="str">
            <v>г.Краснодар</v>
          </cell>
          <cell r="D47" t="str">
            <v>ОПХ Центральное-Витаминкомбинат ;  км: 0+000-5+630</v>
          </cell>
          <cell r="F47" t="str">
            <v>Поверхностная обработка (II вариант)</v>
          </cell>
          <cell r="G47" t="str">
            <v>Район: г.Краснодар \ ОПХ Центральное-Витаминкомбинат ;  км: 0+000-5+630 \ Поверхностная обработка (II вариант)</v>
          </cell>
          <cell r="H47">
            <v>36982</v>
          </cell>
          <cell r="I47">
            <v>37165</v>
          </cell>
          <cell r="J47">
            <v>37072</v>
          </cell>
        </row>
        <row r="48">
          <cell r="A48">
            <v>46</v>
          </cell>
          <cell r="C48" t="str">
            <v>г.Краснодар</v>
          </cell>
          <cell r="D48" t="str">
            <v>Подъезд к п.Дружелюбный ;  км: 0+000-4+000</v>
          </cell>
          <cell r="F48" t="str">
            <v>Поверхностная обработка (II вариант)</v>
          </cell>
          <cell r="G48" t="str">
            <v>Район: г.Краснодар \ Подъезд к п.Дружелюбный ;  км: 0+000-4+000 \ Поверхностная обработка (II вариант)</v>
          </cell>
          <cell r="H48">
            <v>36982</v>
          </cell>
          <cell r="I48">
            <v>37165</v>
          </cell>
          <cell r="J48">
            <v>37072</v>
          </cell>
        </row>
        <row r="49">
          <cell r="A49">
            <v>47</v>
          </cell>
          <cell r="C49" t="str">
            <v>г.Краснодар</v>
          </cell>
          <cell r="D49" t="str">
            <v>Солнечный - Лекраспром ;  км: 0+000-2+000</v>
          </cell>
          <cell r="F49" t="str">
            <v>Поверхностная обработка (II вариант)</v>
          </cell>
          <cell r="G49" t="str">
            <v>Район: г.Краснодар \ Солнечный - Лекраспром ;  км: 0+000-2+000 \ Поверхностная обработка (II вариант)</v>
          </cell>
          <cell r="H49">
            <v>36982</v>
          </cell>
          <cell r="I49">
            <v>37165</v>
          </cell>
          <cell r="J49">
            <v>37072</v>
          </cell>
        </row>
        <row r="50">
          <cell r="A50">
            <v>48</v>
          </cell>
          <cell r="C50" t="str">
            <v>г.Краснодар</v>
          </cell>
          <cell r="D50" t="str">
            <v>Солнечный - Лекраспром ;  км: 6+500 ; 20+000</v>
          </cell>
          <cell r="F50" t="str">
            <v>Устройство автопавильонов</v>
          </cell>
          <cell r="G50" t="str">
            <v>Район: г.Краснодар \ Солнечный - Лекраспром ;  км: 6+500 ; 20+000 \ Устройство автопавильонов</v>
          </cell>
          <cell r="H50">
            <v>36982</v>
          </cell>
          <cell r="I50">
            <v>37165</v>
          </cell>
          <cell r="J50">
            <v>37072</v>
          </cell>
        </row>
        <row r="51">
          <cell r="A51">
            <v>49</v>
          </cell>
          <cell r="C51" t="str">
            <v>г.Краснодар</v>
          </cell>
          <cell r="D51" t="str">
            <v>Солнечный - Лекраспром ;  км: 0+700</v>
          </cell>
          <cell r="F51" t="str">
            <v>Устройство автопавильонов</v>
          </cell>
          <cell r="G51" t="str">
            <v>Район: г.Краснодар \ Солнечный - Лекраспром ;  км: 0+700 \ Устройство автопавильонов</v>
          </cell>
          <cell r="H51">
            <v>36982</v>
          </cell>
          <cell r="I51">
            <v>37165</v>
          </cell>
          <cell r="J51">
            <v>37072</v>
          </cell>
        </row>
        <row r="52">
          <cell r="A52">
            <v>50</v>
          </cell>
          <cell r="C52" t="str">
            <v>г.Краснодар</v>
          </cell>
          <cell r="D52" t="str">
            <v>ОПХ Центральное-Витаминкомбинат ;  км: 3+500-5+600</v>
          </cell>
          <cell r="F52" t="str">
            <v>Устройство тротуаров и пешеходных дорожек</v>
          </cell>
          <cell r="G52" t="str">
            <v>Район: г.Краснодар \ ОПХ Центральное-Витаминкомбинат ;  км: 3+500-5+600 \ Устройство тротуаров и пешеходных дорожек</v>
          </cell>
          <cell r="H52">
            <v>36982</v>
          </cell>
          <cell r="I52">
            <v>37165</v>
          </cell>
          <cell r="J52">
            <v>37072</v>
          </cell>
        </row>
        <row r="53">
          <cell r="A53">
            <v>51</v>
          </cell>
          <cell r="C53" t="str">
            <v>г.Краснодар</v>
          </cell>
          <cell r="D53" t="str">
            <v>Подъезд к  п.Северный ;  км: 0+000-1+000</v>
          </cell>
          <cell r="F53" t="str">
            <v>Устройство тротуаров и пешеходных дорожек</v>
          </cell>
          <cell r="G53" t="str">
            <v>Район: г.Краснодар \ Подъезд к  п.Северный ;  км: 0+000-1+000 \ Устройство тротуаров и пешеходных дорожек</v>
          </cell>
          <cell r="H53">
            <v>36982</v>
          </cell>
          <cell r="I53">
            <v>37165</v>
          </cell>
          <cell r="J53">
            <v>37072</v>
          </cell>
        </row>
        <row r="54">
          <cell r="A54">
            <v>52</v>
          </cell>
          <cell r="C54" t="str">
            <v>г.Лабинск</v>
          </cell>
          <cell r="D54" t="str">
            <v>Подъезд к ст.Чамлыкская ;  км: 1+600-3+351</v>
          </cell>
          <cell r="F54" t="str">
            <v>Поверхностная обработка (II вариант)</v>
          </cell>
          <cell r="G54" t="str">
            <v>Район: г.Лабинск \ Подъезд к ст.Чамлыкская ;  км: 1+600-3+351 \ Поверхностная обработка (II вариант)</v>
          </cell>
          <cell r="H54">
            <v>36982</v>
          </cell>
          <cell r="I54">
            <v>37165</v>
          </cell>
          <cell r="J54">
            <v>37072</v>
          </cell>
        </row>
        <row r="55">
          <cell r="A55">
            <v>53</v>
          </cell>
          <cell r="C55" t="str">
            <v>г.Лабинск</v>
          </cell>
          <cell r="D55" t="str">
            <v>Лабинск - Ахметовская ;  км: 8+000-18+000</v>
          </cell>
          <cell r="F55" t="str">
            <v>Поверхностная обработка (II вариант)</v>
          </cell>
          <cell r="G55" t="str">
            <v>Район: г.Лабинск \ Лабинск - Ахметовская ;  км: 8+000-18+000 \ Поверхностная обработка (II вариант)</v>
          </cell>
          <cell r="H55">
            <v>36982</v>
          </cell>
          <cell r="I55">
            <v>37165</v>
          </cell>
          <cell r="J55">
            <v>37072</v>
          </cell>
        </row>
        <row r="56">
          <cell r="A56">
            <v>54</v>
          </cell>
          <cell r="C56" t="str">
            <v>г.Лабинск</v>
          </cell>
          <cell r="D56" t="str">
            <v>Владимирская - Веселый ;  км: 0+000-5+000</v>
          </cell>
          <cell r="F56" t="str">
            <v>Поверхностная обработка (II вариант)</v>
          </cell>
          <cell r="G56" t="str">
            <v>Район: г.Лабинск \ Владимирская - Веселый ;  км: 0+000-5+000 \ Поверхностная обработка (II вариант)</v>
          </cell>
          <cell r="H56">
            <v>36982</v>
          </cell>
          <cell r="I56">
            <v>37165</v>
          </cell>
          <cell r="J56">
            <v>37072</v>
          </cell>
        </row>
        <row r="57">
          <cell r="A57">
            <v>55</v>
          </cell>
          <cell r="C57" t="str">
            <v>г.Лабинск</v>
          </cell>
          <cell r="D57" t="str">
            <v>Владимирская - Веселый ;  км: 12+600-14+100</v>
          </cell>
          <cell r="F57" t="str">
            <v>Перевод гравийных и щебеночных дорог в а/б с пов.обр</v>
          </cell>
          <cell r="G57" t="str">
            <v>Район: г.Лабинск \ Владимирская - Веселый ;  км: 12+600-14+100 \ Перевод гравийных и щебеночных дорог в а/б с пов.обр</v>
          </cell>
          <cell r="H57">
            <v>36982</v>
          </cell>
          <cell r="I57">
            <v>37165</v>
          </cell>
          <cell r="J57">
            <v>37072</v>
          </cell>
        </row>
        <row r="58">
          <cell r="A58">
            <v>56</v>
          </cell>
          <cell r="C58" t="str">
            <v>г.Лабинск</v>
          </cell>
          <cell r="D58" t="str">
            <v>Вознесенская - Харьковский ;  км: 0+000-6+600 (на участке 0+000-3+000)</v>
          </cell>
          <cell r="F58" t="str">
            <v>Комплексный ремонт</v>
          </cell>
          <cell r="G58" t="str">
            <v>Район: г.Лабинск \ Вознесенская - Харьковский ;  км: 0+000-6+600 (на участке 0+000-3+000) \ Комплексный ремонт</v>
          </cell>
          <cell r="H58">
            <v>36982</v>
          </cell>
          <cell r="I58">
            <v>37165</v>
          </cell>
          <cell r="J58">
            <v>37072</v>
          </cell>
        </row>
        <row r="59">
          <cell r="A59">
            <v>57</v>
          </cell>
          <cell r="C59" t="str">
            <v>г.Лабинск</v>
          </cell>
          <cell r="D59" t="str">
            <v>Лабинск - Ахметовская ;  км: 49+000-54+000</v>
          </cell>
          <cell r="F59" t="str">
            <v>Облегченный ремонт - III вариант</v>
          </cell>
          <cell r="G59" t="str">
            <v>Район: г.Лабинск \ Лабинск - Ахметовская ;  км: 49+000-54+000 \ Облегченный ремонт - III вариант</v>
          </cell>
          <cell r="H59">
            <v>36982</v>
          </cell>
          <cell r="I59">
            <v>37165</v>
          </cell>
          <cell r="J59">
            <v>37072</v>
          </cell>
        </row>
        <row r="60">
          <cell r="A60">
            <v>58</v>
          </cell>
          <cell r="C60" t="str">
            <v>г.Лабинск</v>
          </cell>
          <cell r="D60" t="str">
            <v>Вознесенская - Первая Синюха ;  км: 14+000-16+800</v>
          </cell>
          <cell r="F60" t="str">
            <v>Облегченный ремонт - III вариант</v>
          </cell>
          <cell r="G60" t="str">
            <v>Район: г.Лабинск \ Вознесенская - Первая Синюха ;  км: 14+000-16+800 \ Облегченный ремонт - III вариант</v>
          </cell>
          <cell r="H60">
            <v>36982</v>
          </cell>
          <cell r="I60">
            <v>37165</v>
          </cell>
          <cell r="J60">
            <v>37072</v>
          </cell>
        </row>
        <row r="61">
          <cell r="A61">
            <v>59</v>
          </cell>
          <cell r="C61" t="str">
            <v>г.Лабинск</v>
          </cell>
          <cell r="D61" t="str">
            <v>Подходы к мосту ;  км: 0+000-1+600</v>
          </cell>
          <cell r="F61" t="str">
            <v>Облегченный ремонт - III вариант</v>
          </cell>
          <cell r="G61" t="str">
            <v>Район: г.Лабинск \ Подходы к мосту ;  км: 0+000-1+600 \ Облегченный ремонт - III вариант</v>
          </cell>
          <cell r="H61">
            <v>36982</v>
          </cell>
          <cell r="I61">
            <v>37165</v>
          </cell>
          <cell r="J61">
            <v>37072</v>
          </cell>
        </row>
        <row r="62">
          <cell r="A62">
            <v>60</v>
          </cell>
          <cell r="C62" t="str">
            <v>г.Лабинск</v>
          </cell>
          <cell r="D62" t="str">
            <v>Лабинск - Ахметовская ;  км: 34+000-38+000</v>
          </cell>
          <cell r="F62" t="str">
            <v>Облегченный ремонт - III вариант</v>
          </cell>
          <cell r="G62" t="str">
            <v>Район: г.Лабинск \ Лабинск - Ахметовская ;  км: 34+000-38+000 \ Облегченный ремонт - III вариант</v>
          </cell>
          <cell r="H62">
            <v>36982</v>
          </cell>
          <cell r="I62">
            <v>37165</v>
          </cell>
          <cell r="J62">
            <v>37072</v>
          </cell>
        </row>
        <row r="63">
          <cell r="A63">
            <v>61</v>
          </cell>
          <cell r="C63" t="str">
            <v>г.Новороссийск</v>
          </cell>
          <cell r="D63" t="str">
            <v>Кириловка-Гайдук ;  км: 0+000-5+000</v>
          </cell>
          <cell r="F63" t="str">
            <v>Поверхностная обработка (II вариант)</v>
          </cell>
          <cell r="G63" t="str">
            <v>Район: г.Новороссийск \ Кириловка-Гайдук ;  км: 0+000-5+000 \ Поверхностная обработка (II вариант)</v>
          </cell>
          <cell r="H63">
            <v>36982</v>
          </cell>
          <cell r="I63">
            <v>37165</v>
          </cell>
          <cell r="J63">
            <v>37072</v>
          </cell>
        </row>
        <row r="64">
          <cell r="A64">
            <v>62</v>
          </cell>
          <cell r="C64" t="str">
            <v>г.Новороссийск</v>
          </cell>
          <cell r="D64" t="str">
            <v>Юровка - Раевская - Волчьи Ворота ;  км: 24+400-31+000 ; 33+000-37+000</v>
          </cell>
          <cell r="F64" t="str">
            <v>Поверхностная обработка (II вариант)</v>
          </cell>
          <cell r="G64" t="str">
            <v>Район: г.Новороссийск \ Юровка - Раевская - Волчьи Ворота ;  км: 24+400-31+000 ; 33+000-37+000 \ Поверхностная обработка (II вариант)</v>
          </cell>
          <cell r="H64">
            <v>36982</v>
          </cell>
          <cell r="I64">
            <v>37165</v>
          </cell>
          <cell r="J64">
            <v>37072</v>
          </cell>
        </row>
        <row r="65">
          <cell r="A65">
            <v>63</v>
          </cell>
          <cell r="C65" t="str">
            <v>г.Сочи</v>
          </cell>
          <cell r="D65" t="str">
            <v>Подъезд к с.Верхнее Буу ;  км: 0+000-0+780 ; 0+950-2+800</v>
          </cell>
          <cell r="F65" t="str">
            <v>Поверхностная обработка (II вариант)</v>
          </cell>
          <cell r="G65" t="str">
            <v>Район: г.Сочи \ Подъезд к с.Верхнее Буу ;  км: 0+000-0+780 ; 0+950-2+800 \ Поверхностная обработка (II вариант)</v>
          </cell>
          <cell r="H65">
            <v>36982</v>
          </cell>
          <cell r="I65">
            <v>37165</v>
          </cell>
          <cell r="J65">
            <v>37072</v>
          </cell>
        </row>
        <row r="66">
          <cell r="A66">
            <v>64</v>
          </cell>
          <cell r="C66" t="str">
            <v>г.Сочи</v>
          </cell>
          <cell r="D66" t="str">
            <v>Дагомыс - Солох Аул ;  км: 0+800-8+800</v>
          </cell>
          <cell r="F66" t="str">
            <v>Поверхностная обработка (II вариант)</v>
          </cell>
          <cell r="G66" t="str">
            <v>Район: г.Сочи \ Дагомыс - Солох Аул ;  км: 0+800-8+800 \ Поверхностная обработка (II вариант)</v>
          </cell>
          <cell r="H66">
            <v>36982</v>
          </cell>
          <cell r="I66">
            <v>37165</v>
          </cell>
          <cell r="J66">
            <v>37072</v>
          </cell>
        </row>
        <row r="67">
          <cell r="A67">
            <v>65</v>
          </cell>
          <cell r="C67" t="str">
            <v>Гулькевичский</v>
          </cell>
          <cell r="D67" t="str">
            <v>Гулькевичи - Кропоткин ;  км: 0+000-9+233</v>
          </cell>
          <cell r="F67" t="str">
            <v>Поверхностная обработка (II вариант)</v>
          </cell>
          <cell r="G67" t="str">
            <v>Район: Гулькевичский \ Гулькевичи - Кропоткин ;  км: 0+000-9+233 \ Поверхностная обработка (II вариант)</v>
          </cell>
          <cell r="H67">
            <v>36982</v>
          </cell>
          <cell r="I67">
            <v>37165</v>
          </cell>
          <cell r="J67">
            <v>37072</v>
          </cell>
        </row>
        <row r="68">
          <cell r="A68">
            <v>66</v>
          </cell>
          <cell r="C68" t="str">
            <v>Гулькевичский</v>
          </cell>
          <cell r="D68" t="str">
            <v>Гулькевичи - Скобелевская ;  км: 0+000-7+400</v>
          </cell>
          <cell r="F68" t="str">
            <v>Поверхностная обработка (II вариант)</v>
          </cell>
          <cell r="G68" t="str">
            <v>Район: Гулькевичский \ Гулькевичи - Скобелевская ;  км: 0+000-7+400 \ Поверхностная обработка (II вариант)</v>
          </cell>
          <cell r="H68">
            <v>36982</v>
          </cell>
          <cell r="I68">
            <v>37165</v>
          </cell>
          <cell r="J68">
            <v>37072</v>
          </cell>
        </row>
        <row r="69">
          <cell r="A69">
            <v>67</v>
          </cell>
          <cell r="C69" t="str">
            <v>Гулькевичский</v>
          </cell>
          <cell r="D69" t="str">
            <v>Гулькевичи - Новоукраинское - гр.Тбилисского района ;  км: 4+400-9+700</v>
          </cell>
          <cell r="F69" t="str">
            <v>Поверхностная обработка (II вариант)</v>
          </cell>
          <cell r="G69" t="str">
            <v>Район: Гулькевичский \ Гулькевичи - Новоукраинское - гр.Тбилисского района ;  км: 4+400-9+700 \ Поверхностная обработка (II вариант)</v>
          </cell>
          <cell r="H69">
            <v>36982</v>
          </cell>
          <cell r="I69">
            <v>37165</v>
          </cell>
          <cell r="J69">
            <v>37072</v>
          </cell>
        </row>
        <row r="70">
          <cell r="A70">
            <v>68</v>
          </cell>
          <cell r="C70" t="str">
            <v>Гулькевичский</v>
          </cell>
          <cell r="D70" t="str">
            <v>Подъезд к ц/у с-за "Кубань" ;  км: 0+000-1+526</v>
          </cell>
          <cell r="F70" t="str">
            <v>Поверхностная обработка (II вариант)</v>
          </cell>
          <cell r="G70" t="str">
            <v>Район: Гулькевичский \ Подъезд к ц/у с-за "Кубань" ;  км: 0+000-1+526 \ Поверхностная обработка (II вариант)</v>
          </cell>
          <cell r="H70">
            <v>36982</v>
          </cell>
          <cell r="I70">
            <v>37165</v>
          </cell>
          <cell r="J70">
            <v>37072</v>
          </cell>
        </row>
        <row r="71">
          <cell r="A71">
            <v>69</v>
          </cell>
          <cell r="C71" t="str">
            <v>Гулькевичский</v>
          </cell>
          <cell r="D71" t="str">
            <v>Подъезд к х.Духовской ;  км: 1+800-8+200</v>
          </cell>
          <cell r="F71" t="str">
            <v>Облегченный ремонт - III вариант</v>
          </cell>
          <cell r="G71" t="str">
            <v>Район: Гулькевичский \ Подъезд к х.Духовской ;  км: 1+800-8+200 \ Облегченный ремонт - III вариант</v>
          </cell>
          <cell r="H71">
            <v>36982</v>
          </cell>
          <cell r="I71">
            <v>37165</v>
          </cell>
          <cell r="J71">
            <v>37072</v>
          </cell>
        </row>
        <row r="72">
          <cell r="A72">
            <v>70</v>
          </cell>
          <cell r="C72" t="str">
            <v>Динской</v>
          </cell>
          <cell r="D72" t="str">
            <v>Краснодар - Ейск ;  км: 11+000-16+000</v>
          </cell>
          <cell r="F72" t="str">
            <v>Поверхностная обработка (II вариант)</v>
          </cell>
          <cell r="G72" t="str">
            <v>Район: Динской \ Краснодар - Ейск ;  км: 11+000-16+000 \ Поверхностная обработка (II вариант)</v>
          </cell>
          <cell r="H72">
            <v>36982</v>
          </cell>
          <cell r="I72">
            <v>37165</v>
          </cell>
          <cell r="J72">
            <v>37072</v>
          </cell>
        </row>
        <row r="73">
          <cell r="A73">
            <v>71</v>
          </cell>
          <cell r="C73" t="str">
            <v>Динской</v>
          </cell>
          <cell r="D73" t="str">
            <v>Динская - Старомышастовская ;  км: 6+000-20+600 (на участке 12+000-17+000)</v>
          </cell>
          <cell r="F73" t="str">
            <v>Поверхностная обработка (II вариант)</v>
          </cell>
          <cell r="G73" t="str">
            <v>Район: Динской \ Динская - Старомышастовская ;  км: 6+000-20+600 (на участке 12+000-17+000) \ Поверхностная обработка (II вариант)</v>
          </cell>
          <cell r="H73">
            <v>36982</v>
          </cell>
          <cell r="I73">
            <v>37165</v>
          </cell>
          <cell r="J73">
            <v>37072</v>
          </cell>
        </row>
        <row r="74">
          <cell r="A74">
            <v>72</v>
          </cell>
          <cell r="C74" t="str">
            <v>Динской</v>
          </cell>
          <cell r="D74" t="str">
            <v>Новотитаровская - Копанской ;  км: 9+000-21+200 (на участке 9+000-14+000, 18+000-20+760)</v>
          </cell>
          <cell r="F74" t="str">
            <v>Поверхностная обработка (II вариант)</v>
          </cell>
          <cell r="G74" t="str">
            <v>Район: Динской \ Новотитаровская - Копанской ;  км: 9+000-21+200 (на участке 9+000-14+000, 18+000-20+760) \ Поверхностная обработка (II вариант)</v>
          </cell>
          <cell r="H74">
            <v>36982</v>
          </cell>
          <cell r="I74">
            <v>37165</v>
          </cell>
          <cell r="J74">
            <v>37072</v>
          </cell>
        </row>
        <row r="75">
          <cell r="A75">
            <v>73</v>
          </cell>
          <cell r="C75" t="str">
            <v>Динской</v>
          </cell>
          <cell r="D75" t="str">
            <v>Нововеличковская - Воронцовская ;  км: 0+000-1+200 ; 4+000-6+000 (на участке 4+000-6+000)</v>
          </cell>
          <cell r="F75" t="str">
            <v>Поверхностная обработка (II вариант)</v>
          </cell>
          <cell r="G75" t="str">
            <v>Район: Динской \ Нововеличковская - Воронцовская ;  км: 0+000-1+200 ; 4+000-6+000 (на участке 4+000-6+000) \ Поверхностная обработка (II вариант)</v>
          </cell>
          <cell r="H75">
            <v>36982</v>
          </cell>
          <cell r="I75">
            <v>37165</v>
          </cell>
          <cell r="J75">
            <v>37072</v>
          </cell>
        </row>
        <row r="76">
          <cell r="A76">
            <v>74</v>
          </cell>
          <cell r="C76" t="str">
            <v>Динской</v>
          </cell>
          <cell r="D76" t="str">
            <v>Пластуновская - Суворовское ;  км: 4+000-6+200</v>
          </cell>
          <cell r="F76" t="str">
            <v>Поверхностная обработка (II вариант)</v>
          </cell>
          <cell r="G76" t="str">
            <v>Район: Динской \ Пластуновская - Суворовское ;  км: 4+000-6+200 \ Поверхностная обработка (II вариант)</v>
          </cell>
          <cell r="H76">
            <v>36982</v>
          </cell>
          <cell r="I76">
            <v>37165</v>
          </cell>
          <cell r="J76">
            <v>37072</v>
          </cell>
        </row>
        <row r="77">
          <cell r="A77">
            <v>75</v>
          </cell>
          <cell r="C77" t="str">
            <v>Динской</v>
          </cell>
          <cell r="D77" t="str">
            <v>Динская - Васюринская ;  км: 8+000-9+400 ;</v>
          </cell>
          <cell r="F77" t="str">
            <v>Поверхностная обработка (II вариант)</v>
          </cell>
          <cell r="G77" t="str">
            <v>Район: Динской \ Динская - Васюринская ;  км: 8+000-9+400 ; \ Поверхностная обработка (II вариант)</v>
          </cell>
          <cell r="H77">
            <v>36982</v>
          </cell>
          <cell r="I77">
            <v>37165</v>
          </cell>
          <cell r="J77">
            <v>37072</v>
          </cell>
        </row>
        <row r="78">
          <cell r="A78">
            <v>76</v>
          </cell>
          <cell r="C78" t="str">
            <v>Динской</v>
          </cell>
          <cell r="D78" t="str">
            <v>Динская - Агроном ;  км: 5+000-6+500</v>
          </cell>
          <cell r="F78" t="str">
            <v>Поверхностная обработка (II вариант)</v>
          </cell>
          <cell r="G78" t="str">
            <v>Район: Динской \ Динская - Агроном ;  км: 5+000-6+500 \ Поверхностная обработка (II вариант)</v>
          </cell>
          <cell r="H78">
            <v>36982</v>
          </cell>
          <cell r="I78">
            <v>37165</v>
          </cell>
          <cell r="J78">
            <v>37072</v>
          </cell>
        </row>
        <row r="79">
          <cell r="A79">
            <v>77</v>
          </cell>
          <cell r="C79" t="str">
            <v>Динской</v>
          </cell>
          <cell r="D79" t="str">
            <v>Подъезд к п.Украинский ;  км: 0+000-3+300</v>
          </cell>
          <cell r="F79" t="str">
            <v>Поверхностная обработка (II вариант)</v>
          </cell>
          <cell r="G79" t="str">
            <v>Район: Динской \ Подъезд к п.Украинский ;  км: 0+000-3+300 \ Поверхностная обработка (II вариант)</v>
          </cell>
          <cell r="H79">
            <v>36982</v>
          </cell>
          <cell r="I79">
            <v>37165</v>
          </cell>
          <cell r="J79">
            <v>37072</v>
          </cell>
        </row>
        <row r="80">
          <cell r="A80">
            <v>78</v>
          </cell>
          <cell r="C80" t="str">
            <v>Динской</v>
          </cell>
          <cell r="D80" t="str">
            <v>Динская - Старомышастовская ;  км: 6+000-20+600 (на участке 6+000-12+000,17+000-20+600)</v>
          </cell>
          <cell r="F80" t="str">
            <v>Поверхностная обработка (II вариант)</v>
          </cell>
          <cell r="G80" t="str">
            <v>Район: Динской \ Динская - Старомышастовская ;  км: 6+000-20+600 (на участке 6+000-12+000,17+000-20+600) \ Поверхностная обработка (II вариант)</v>
          </cell>
          <cell r="H80">
            <v>36982</v>
          </cell>
          <cell r="I80">
            <v>37165</v>
          </cell>
          <cell r="J80">
            <v>37072</v>
          </cell>
        </row>
        <row r="81">
          <cell r="A81">
            <v>79</v>
          </cell>
          <cell r="C81" t="str">
            <v>Динской</v>
          </cell>
          <cell r="D81" t="str">
            <v>Динская - Пластуновская ;  км: 0+050 ; 1+700</v>
          </cell>
          <cell r="F81" t="str">
            <v>Устройство автопавильонов</v>
          </cell>
          <cell r="G81" t="str">
            <v>Район: Динской \ Динская - Пластуновская ;  км: 0+050 ; 1+700 \ Устройство автопавильонов</v>
          </cell>
          <cell r="H81">
            <v>36982</v>
          </cell>
          <cell r="I81">
            <v>37165</v>
          </cell>
          <cell r="J81">
            <v>37072</v>
          </cell>
        </row>
        <row r="82">
          <cell r="A82">
            <v>80</v>
          </cell>
          <cell r="C82" t="str">
            <v>Динской</v>
          </cell>
          <cell r="D82" t="str">
            <v>Динская - Агроном ;  км: 5+200</v>
          </cell>
          <cell r="F82" t="str">
            <v>Устройство автопавильонов</v>
          </cell>
          <cell r="G82" t="str">
            <v>Район: Динской \ Динская - Агроном ;  км: 5+200 \ Устройство автопавильонов</v>
          </cell>
          <cell r="H82">
            <v>36982</v>
          </cell>
          <cell r="I82">
            <v>37165</v>
          </cell>
          <cell r="J82">
            <v>37072</v>
          </cell>
        </row>
        <row r="83">
          <cell r="A83">
            <v>81</v>
          </cell>
          <cell r="C83" t="str">
            <v>Динской</v>
          </cell>
          <cell r="D83" t="str">
            <v>Динская - Старомышастовская ;  км: 12+500</v>
          </cell>
          <cell r="F83" t="str">
            <v>Устройство автопавильонов</v>
          </cell>
          <cell r="G83" t="str">
            <v>Район: Динской \ Динская - Старомышастовская ;  км: 12+500 \ Устройство автопавильонов</v>
          </cell>
          <cell r="H83">
            <v>36982</v>
          </cell>
          <cell r="I83">
            <v>37165</v>
          </cell>
          <cell r="J83">
            <v>37072</v>
          </cell>
        </row>
        <row r="84">
          <cell r="A84">
            <v>82</v>
          </cell>
          <cell r="C84" t="str">
            <v>Динской</v>
          </cell>
          <cell r="D84" t="str">
            <v>Новотитаровская - Копанской ;  км: 5+200 ; 15+800</v>
          </cell>
          <cell r="F84" t="str">
            <v>Устройство автопавильонов</v>
          </cell>
          <cell r="G84" t="str">
            <v>Район: Динской \ Новотитаровская - Копанской ;  км: 5+200 ; 15+800 \ Устройство автопавильонов</v>
          </cell>
          <cell r="H84">
            <v>36982</v>
          </cell>
          <cell r="I84">
            <v>37165</v>
          </cell>
          <cell r="J84">
            <v>37072</v>
          </cell>
        </row>
        <row r="85">
          <cell r="A85">
            <v>83</v>
          </cell>
          <cell r="C85" t="str">
            <v>Динской</v>
          </cell>
          <cell r="D85" t="str">
            <v>Калининская - Новотитаровская ;  км: 30+000-32+000</v>
          </cell>
          <cell r="F85" t="str">
            <v>Устройство тротуаров и пешеходных дорожек</v>
          </cell>
          <cell r="G85" t="str">
            <v>Район: Динской \ Калининская - Новотитаровская ;  км: 30+000-32+000 \ Устройство тротуаров и пешеходных дорожек</v>
          </cell>
          <cell r="H85">
            <v>36982</v>
          </cell>
          <cell r="I85">
            <v>37165</v>
          </cell>
          <cell r="J85">
            <v>37072</v>
          </cell>
        </row>
        <row r="86">
          <cell r="A86">
            <v>84</v>
          </cell>
          <cell r="C86" t="str">
            <v>Ейский</v>
          </cell>
          <cell r="D86" t="str">
            <v>Ейск - Ясенская - Новоминская ;  км: 30+000-41+200</v>
          </cell>
          <cell r="F86" t="str">
            <v>Поверхностная обработка (II вариант)</v>
          </cell>
          <cell r="G86" t="str">
            <v>Район: Ейский \ Ейск - Ясенская - Новоминская ;  км: 30+000-41+200 \ Поверхностная обработка (II вариант)</v>
          </cell>
          <cell r="H86">
            <v>36982</v>
          </cell>
          <cell r="I86">
            <v>37165</v>
          </cell>
          <cell r="J86">
            <v>37072</v>
          </cell>
        </row>
        <row r="87">
          <cell r="A87">
            <v>85</v>
          </cell>
          <cell r="C87" t="str">
            <v>Ейский</v>
          </cell>
          <cell r="D87" t="str">
            <v>Приазовка - Воронцовка - Должанская ;  км: 7+000-15+200</v>
          </cell>
          <cell r="F87" t="str">
            <v>Поверхностная обработка (II вариант)</v>
          </cell>
          <cell r="G87" t="str">
            <v>Район: Ейский \ Приазовка - Воронцовка - Должанская ;  км: 7+000-15+200 \ Поверхностная обработка (II вариант)</v>
          </cell>
          <cell r="H87">
            <v>36982</v>
          </cell>
          <cell r="I87">
            <v>37165</v>
          </cell>
          <cell r="J87">
            <v>37072</v>
          </cell>
        </row>
        <row r="88">
          <cell r="A88">
            <v>86</v>
          </cell>
          <cell r="C88" t="str">
            <v>Ейский</v>
          </cell>
          <cell r="D88" t="str">
            <v>Приазовка -Воронцовка-Должанская км 0+000-7+000</v>
          </cell>
          <cell r="F88" t="str">
            <v>Облегченный ремонт - III вариант</v>
          </cell>
          <cell r="G88" t="str">
            <v>Район: Ейский \ Приазовка -Воронцовка-Должанская км 0+000-7+000 \ Облегченный ремонт - III вариант</v>
          </cell>
          <cell r="H88">
            <v>36982</v>
          </cell>
          <cell r="I88">
            <v>37165</v>
          </cell>
          <cell r="J88">
            <v>37072</v>
          </cell>
        </row>
        <row r="89">
          <cell r="A89">
            <v>87</v>
          </cell>
          <cell r="C89" t="str">
            <v>Ейский</v>
          </cell>
          <cell r="D89" t="str">
            <v>Ейск - Ясенская - Новоминская ;  км: 1+000; 1+050; 11+100</v>
          </cell>
          <cell r="F89" t="str">
            <v>Устройство остановочных площадок</v>
          </cell>
          <cell r="G89" t="str">
            <v>Район: Ейский \ Ейск - Ясенская - Новоминская ;  км: 1+000; 1+050; 11+100 \ Устройство остановочных площадок</v>
          </cell>
          <cell r="H89">
            <v>36982</v>
          </cell>
          <cell r="I89">
            <v>37165</v>
          </cell>
          <cell r="J89">
            <v>37072</v>
          </cell>
        </row>
        <row r="90">
          <cell r="A90">
            <v>88</v>
          </cell>
          <cell r="C90" t="str">
            <v>Ейский</v>
          </cell>
          <cell r="D90" t="str">
            <v>Ясенская - Ясенская Переправа ;  км: 0+800</v>
          </cell>
          <cell r="F90" t="str">
            <v>Устройство остановочных площадок</v>
          </cell>
          <cell r="G90" t="str">
            <v>Район: Ейский \ Ясенская - Ясенская Переправа ;  км: 0+800 \ Устройство остановочных площадок</v>
          </cell>
          <cell r="H90">
            <v>36982</v>
          </cell>
          <cell r="I90">
            <v>37165</v>
          </cell>
          <cell r="J90">
            <v>37072</v>
          </cell>
        </row>
        <row r="91">
          <cell r="A91">
            <v>89</v>
          </cell>
          <cell r="C91" t="str">
            <v>Ейский</v>
          </cell>
          <cell r="D91" t="str">
            <v>Ейск - Ясенская - Новоминская ;  км: 1+000; 1+050; 11+100</v>
          </cell>
          <cell r="F91" t="str">
            <v>Устройство автопавильонов</v>
          </cell>
          <cell r="G91" t="str">
            <v>Район: Ейский \ Ейск - Ясенская - Новоминская ;  км: 1+000; 1+050; 11+100 \ Устройство автопавильонов</v>
          </cell>
          <cell r="H91">
            <v>36982</v>
          </cell>
          <cell r="I91">
            <v>37165</v>
          </cell>
          <cell r="J91">
            <v>37072</v>
          </cell>
        </row>
        <row r="92">
          <cell r="A92">
            <v>90</v>
          </cell>
          <cell r="C92" t="str">
            <v>Ейский</v>
          </cell>
          <cell r="D92" t="str">
            <v>Ясенская - Ясенская Переправа ;  км: 0+800</v>
          </cell>
          <cell r="F92" t="str">
            <v>Устройство автопавильонов</v>
          </cell>
          <cell r="G92" t="str">
            <v>Район: Ейский \ Ясенская - Ясенская Переправа ;  км: 0+800 \ Устройство автопавильонов</v>
          </cell>
          <cell r="H92">
            <v>36982</v>
          </cell>
          <cell r="I92">
            <v>37165</v>
          </cell>
          <cell r="J92">
            <v>37072</v>
          </cell>
        </row>
        <row r="93">
          <cell r="A93">
            <v>91</v>
          </cell>
          <cell r="C93" t="str">
            <v>Ейский</v>
          </cell>
          <cell r="D93" t="str">
            <v>Ейск - Ясенская - Новоминская ;  км: 0+600-1+700</v>
          </cell>
          <cell r="F93" t="str">
            <v>Устройство тротуаров и пешеходных дорожек</v>
          </cell>
          <cell r="G93" t="str">
            <v>Район: Ейский \ Ейск - Ясенская - Новоминская ;  км: 0+600-1+700 \ Устройство тротуаров и пешеходных дорожек</v>
          </cell>
          <cell r="H93">
            <v>36982</v>
          </cell>
          <cell r="I93">
            <v>37165</v>
          </cell>
          <cell r="J93">
            <v>37072</v>
          </cell>
        </row>
        <row r="94">
          <cell r="A94">
            <v>92</v>
          </cell>
          <cell r="C94" t="str">
            <v>Ейский</v>
          </cell>
          <cell r="D94" t="str">
            <v>Ейск - Ясенская - Новоминская ;  км: 11+000-11+850</v>
          </cell>
          <cell r="F94" t="str">
            <v>Устройство тротуаров и пешеходных дорожек</v>
          </cell>
          <cell r="G94" t="str">
            <v>Район: Ейский \ Ейск - Ясенская - Новоминская ;  км: 11+000-11+850 \ Устройство тротуаров и пешеходных дорожек</v>
          </cell>
          <cell r="H94">
            <v>36982</v>
          </cell>
          <cell r="I94">
            <v>37165</v>
          </cell>
          <cell r="J94">
            <v>37072</v>
          </cell>
        </row>
        <row r="95">
          <cell r="A95">
            <v>93</v>
          </cell>
          <cell r="C95" t="str">
            <v>Ейский</v>
          </cell>
          <cell r="D95" t="str">
            <v>Краснодар - Ейск ;  км: 221+700</v>
          </cell>
          <cell r="F95" t="str">
            <v>Архитектурно-художественное оформление элементов обустройства дорог</v>
          </cell>
          <cell r="G95" t="str">
            <v>Район: Ейский \ Краснодар - Ейск ;  км: 221+700 \ Архитектурно-художественное оформление элементов обустройства дорог</v>
          </cell>
          <cell r="H95">
            <v>36982</v>
          </cell>
          <cell r="I95">
            <v>37165</v>
          </cell>
          <cell r="J95">
            <v>37072</v>
          </cell>
        </row>
        <row r="96">
          <cell r="A96">
            <v>94</v>
          </cell>
          <cell r="C96" t="str">
            <v>Кавказский</v>
          </cell>
          <cell r="D96" t="str">
            <v>Кропоткин - Темижбекская - гр.Ставропольского края ;  км: 0+000-8+000</v>
          </cell>
          <cell r="F96" t="str">
            <v>Поверхностная обработка (II вариант)</v>
          </cell>
          <cell r="G96" t="str">
            <v>Район: Кавказский \ Кропоткин - Темижбекская - гр.Ставропольского края ;  км: 0+000-8+000 \ Поверхностная обработка (II вариант)</v>
          </cell>
          <cell r="H96">
            <v>36982</v>
          </cell>
          <cell r="I96">
            <v>37165</v>
          </cell>
          <cell r="J96">
            <v>37072</v>
          </cell>
        </row>
        <row r="97">
          <cell r="A97">
            <v>95</v>
          </cell>
          <cell r="C97" t="str">
            <v>Кавказский</v>
          </cell>
          <cell r="D97" t="str">
            <v>Кавказская - Новопокровская ;  км: 11+000-16+300</v>
          </cell>
          <cell r="F97" t="str">
            <v>Облегченный ремонт - III вариант</v>
          </cell>
          <cell r="G97" t="str">
            <v>Район: Кавказский \ Кавказская - Новопокровская ;  км: 11+000-16+300 \ Облегченный ремонт - III вариант</v>
          </cell>
          <cell r="H97">
            <v>36982</v>
          </cell>
          <cell r="I97">
            <v>37165</v>
          </cell>
          <cell r="J97">
            <v>37072</v>
          </cell>
        </row>
        <row r="98">
          <cell r="A98">
            <v>96</v>
          </cell>
          <cell r="C98" t="str">
            <v>Калининский</v>
          </cell>
          <cell r="D98" t="str">
            <v>Подъезд к с.Гришковское ;  км: 0+000-5+800</v>
          </cell>
          <cell r="F98" t="str">
            <v>Поверхностная обработка (II вариант)</v>
          </cell>
          <cell r="G98" t="str">
            <v>Район: Калининский \ Подъезд к с.Гришковское ;  км: 0+000-5+800 \ Поверхностная обработка (II вариант)</v>
          </cell>
          <cell r="H98">
            <v>36982</v>
          </cell>
          <cell r="I98">
            <v>37165</v>
          </cell>
          <cell r="J98">
            <v>37072</v>
          </cell>
        </row>
        <row r="99">
          <cell r="A99">
            <v>97</v>
          </cell>
          <cell r="C99" t="str">
            <v>Калининский</v>
          </cell>
          <cell r="D99" t="str">
            <v>Калининская - Новониколаевская ;  км: 11+000-17+800 ; 29+200-30+500</v>
          </cell>
          <cell r="F99" t="str">
            <v>Поверхностная обработка (II вариант)</v>
          </cell>
          <cell r="G99" t="str">
            <v>Район: Калининский \ Калининская - Новониколаевская ;  км: 11+000-17+800 ; 29+200-30+500 \ Поверхностная обработка (II вариант)</v>
          </cell>
          <cell r="H99">
            <v>36982</v>
          </cell>
          <cell r="I99">
            <v>37165</v>
          </cell>
          <cell r="J99">
            <v>37072</v>
          </cell>
        </row>
        <row r="100">
          <cell r="A100">
            <v>98</v>
          </cell>
          <cell r="C100" t="str">
            <v>Калининский</v>
          </cell>
          <cell r="D100" t="str">
            <v xml:space="preserve"> Нововеличковская-Долиновское ;  км: 10+170-12+560</v>
          </cell>
          <cell r="F100" t="str">
            <v>Поверхностная обработка (II вариант)</v>
          </cell>
          <cell r="G100" t="str">
            <v>Район: Калининский \  Нововеличковская-Долиновское ;  км: 10+170-12+560 \ Поверхностная обработка (II вариант)</v>
          </cell>
          <cell r="H100">
            <v>36982</v>
          </cell>
          <cell r="I100">
            <v>37165</v>
          </cell>
          <cell r="J100">
            <v>37072</v>
          </cell>
        </row>
        <row r="101">
          <cell r="A101">
            <v>99</v>
          </cell>
          <cell r="C101" t="str">
            <v>Калининский</v>
          </cell>
          <cell r="D101" t="str">
            <v>Калининская - Новониколаевская ;  км: 17+800-22+100 ; 30+500-32+500</v>
          </cell>
          <cell r="F101" t="str">
            <v>Поверхностная обработка (I вариант)</v>
          </cell>
          <cell r="G101" t="str">
            <v>Район: Калининский \ Калининская - Новониколаевская ;  км: 17+800-22+100 ; 30+500-32+500 \ Поверхностная обработка (I вариант)</v>
          </cell>
          <cell r="H101">
            <v>36982</v>
          </cell>
          <cell r="I101">
            <v>37165</v>
          </cell>
          <cell r="J101">
            <v>37072</v>
          </cell>
        </row>
        <row r="102">
          <cell r="A102">
            <v>100</v>
          </cell>
          <cell r="C102" t="str">
            <v>Калининский</v>
          </cell>
          <cell r="D102" t="str">
            <v>Тимашевск - Славянск-на-Кубани - Крымск ;  км: 28+000-33+000</v>
          </cell>
          <cell r="F102" t="str">
            <v>Облегченный ремонт - III вариант</v>
          </cell>
          <cell r="G102" t="str">
            <v>Район: Калининский \ Тимашевск - Славянск-на-Кубани - Крымск ;  км: 28+000-33+000 \ Облегченный ремонт - III вариант</v>
          </cell>
          <cell r="H102">
            <v>36982</v>
          </cell>
          <cell r="I102">
            <v>37165</v>
          </cell>
          <cell r="J102">
            <v>37072</v>
          </cell>
        </row>
        <row r="103">
          <cell r="A103">
            <v>101</v>
          </cell>
          <cell r="C103" t="str">
            <v>Калининский</v>
          </cell>
          <cell r="D103" t="str">
            <v>Тимашевск - Славянск-на-Кубани - Крымск ;  км: 26+900-27+300 (0,4 км)</v>
          </cell>
          <cell r="F103" t="str">
            <v>Устройство тротуаров и пешеходных дорожек</v>
          </cell>
          <cell r="G103" t="str">
            <v>Район: Калининский \ Тимашевск - Славянск-на-Кубани - Крымск ;  км: 26+900-27+300 (0,4 км) \ Устройство тротуаров и пешеходных дорожек</v>
          </cell>
          <cell r="H103">
            <v>36982</v>
          </cell>
          <cell r="I103">
            <v>37165</v>
          </cell>
          <cell r="J103">
            <v>37072</v>
          </cell>
        </row>
        <row r="104">
          <cell r="A104">
            <v>102</v>
          </cell>
          <cell r="C104" t="str">
            <v>Калининский</v>
          </cell>
          <cell r="D104" t="str">
            <v>Обход ст.Калининская ;  км: 2+500-4+500 (2 км)</v>
          </cell>
          <cell r="F104" t="str">
            <v>Устройство тротуаров и пешеходных дорожек</v>
          </cell>
          <cell r="G104" t="str">
            <v>Район: Калининский \ Обход ст.Калининская ;  км: 2+500-4+500 (2 км) \ Устройство тротуаров и пешеходных дорожек</v>
          </cell>
          <cell r="H104">
            <v>36982</v>
          </cell>
          <cell r="I104">
            <v>37165</v>
          </cell>
          <cell r="J104">
            <v>37072</v>
          </cell>
        </row>
        <row r="105">
          <cell r="A105">
            <v>103</v>
          </cell>
          <cell r="C105" t="str">
            <v>Каневский</v>
          </cell>
          <cell r="D105" t="str">
            <v>Краснодар - Ейск ;  км: 137+000-152+000</v>
          </cell>
          <cell r="F105" t="str">
            <v>Поверхностная обработка (II вариант)</v>
          </cell>
          <cell r="G105" t="str">
            <v>Район: Каневский \ Краснодар - Ейск ;  км: 137+000-152+000 \ Поверхностная обработка (II вариант)</v>
          </cell>
          <cell r="H105">
            <v>36982</v>
          </cell>
          <cell r="I105">
            <v>37165</v>
          </cell>
          <cell r="J105">
            <v>37072</v>
          </cell>
        </row>
        <row r="106">
          <cell r="A106">
            <v>104</v>
          </cell>
          <cell r="C106" t="str">
            <v>Каневский</v>
          </cell>
          <cell r="D106" t="str">
            <v>Привольная - Каневская - Березанская ;  км: 53+000-68+000</v>
          </cell>
          <cell r="F106" t="str">
            <v>Поверхностная обработка (II вариант)</v>
          </cell>
          <cell r="G106" t="str">
            <v>Район: Каневский \ Привольная - Каневская - Березанская ;  км: 53+000-68+000 \ Поверхностная обработка (II вариант)</v>
          </cell>
          <cell r="H106">
            <v>36982</v>
          </cell>
          <cell r="I106">
            <v>37165</v>
          </cell>
          <cell r="J106">
            <v>37072</v>
          </cell>
        </row>
        <row r="107">
          <cell r="A107">
            <v>105</v>
          </cell>
          <cell r="C107" t="str">
            <v>Каневский</v>
          </cell>
          <cell r="D107" t="str">
            <v>Западный обход ст.Каневская ;  км: 0+000-13+900</v>
          </cell>
          <cell r="F107" t="str">
            <v>Поверхностная обработка (II вариант)</v>
          </cell>
          <cell r="G107" t="str">
            <v>Район: Каневский \ Западный обход ст.Каневская ;  км: 0+000-13+900 \ Поверхностная обработка (II вариант)</v>
          </cell>
          <cell r="H107">
            <v>36982</v>
          </cell>
          <cell r="I107">
            <v>37165</v>
          </cell>
          <cell r="J107">
            <v>37072</v>
          </cell>
        </row>
        <row r="108">
          <cell r="A108">
            <v>106</v>
          </cell>
          <cell r="C108" t="str">
            <v>Каневский</v>
          </cell>
          <cell r="D108" t="str">
            <v>Западный обход ст.Каневская км 13+200-13+900</v>
          </cell>
          <cell r="F108" t="str">
            <v>Устройство тротуаров и пешеходных дорожек</v>
          </cell>
          <cell r="G108" t="str">
            <v>Район: Каневский \ Западный обход ст.Каневская км 13+200-13+900 \ Устройство тротуаров и пешеходных дорожек</v>
          </cell>
          <cell r="H108">
            <v>36982</v>
          </cell>
          <cell r="I108">
            <v>37165</v>
          </cell>
          <cell r="J108">
            <v>37072</v>
          </cell>
        </row>
        <row r="109">
          <cell r="A109">
            <v>107</v>
          </cell>
          <cell r="C109" t="str">
            <v>Каневский</v>
          </cell>
          <cell r="D109" t="str">
            <v>Стародеревянковская-Новодеревянковская км 23+000-38+000</v>
          </cell>
          <cell r="F109" t="str">
            <v>Поверхностная обработка (II вариант)</v>
          </cell>
          <cell r="G109" t="str">
            <v>Район: Каневский \ Стародеревянковская-Новодеревянковская км 23+000-38+000 \ Поверхностная обработка (II вариант)</v>
          </cell>
          <cell r="H109">
            <v>36982</v>
          </cell>
          <cell r="I109">
            <v>37165</v>
          </cell>
          <cell r="J109">
            <v>37072</v>
          </cell>
        </row>
        <row r="110">
          <cell r="A110">
            <v>108</v>
          </cell>
          <cell r="C110" t="str">
            <v>Каневский</v>
          </cell>
          <cell r="D110" t="str">
            <v>Стародеревянковская - Новодеревянковская ;  км: 18+000-23+000</v>
          </cell>
          <cell r="F110" t="str">
            <v>Облегченный ремонт - III вариант</v>
          </cell>
          <cell r="G110" t="str">
            <v>Район: Каневский \ Стародеревянковская - Новодеревянковская ;  км: 18+000-23+000 \ Облегченный ремонт - III вариант</v>
          </cell>
          <cell r="H110">
            <v>36982</v>
          </cell>
          <cell r="I110">
            <v>37165</v>
          </cell>
          <cell r="J110">
            <v>37072</v>
          </cell>
        </row>
        <row r="111">
          <cell r="A111">
            <v>109</v>
          </cell>
          <cell r="C111" t="str">
            <v>Кореновский</v>
          </cell>
          <cell r="D111" t="str">
            <v>Кореновск - Бураковский ;  км: 0+000-10+200</v>
          </cell>
          <cell r="F111" t="str">
            <v>Поверхностная обработка (II вариант)</v>
          </cell>
          <cell r="G111" t="str">
            <v>Район: Кореновский \ Кореновск - Бураковский ;  км: 0+000-10+200 \ Поверхностная обработка (II вариант)</v>
          </cell>
          <cell r="H111">
            <v>36982</v>
          </cell>
          <cell r="I111">
            <v>37165</v>
          </cell>
          <cell r="J111">
            <v>37072</v>
          </cell>
        </row>
        <row r="112">
          <cell r="A112">
            <v>110</v>
          </cell>
          <cell r="C112" t="str">
            <v>Кореновский</v>
          </cell>
          <cell r="D112" t="str">
            <v>Подъезд к п.Пролетарский ;  км: 0+000-3+200 ; 3+500-5+000</v>
          </cell>
          <cell r="F112" t="str">
            <v>Поверхностная обработка (II вариант)</v>
          </cell>
          <cell r="G112" t="str">
            <v>Район: Кореновский \ Подъезд к п.Пролетарский ;  км: 0+000-3+200 ; 3+500-5+000 \ Поверхностная обработка (II вариант)</v>
          </cell>
          <cell r="H112">
            <v>36982</v>
          </cell>
          <cell r="I112">
            <v>37165</v>
          </cell>
          <cell r="J112">
            <v>37072</v>
          </cell>
        </row>
        <row r="113">
          <cell r="A113">
            <v>111</v>
          </cell>
          <cell r="C113" t="str">
            <v>Кореновский</v>
          </cell>
          <cell r="D113" t="str">
            <v>Подъезд к с.Братковское ;  км: 11+200-13+400</v>
          </cell>
          <cell r="F113" t="str">
            <v>Поверхностная обработка (II вариант)</v>
          </cell>
          <cell r="G113" t="str">
            <v>Район: Кореновский \ Подъезд к с.Братковское ;  км: 11+200-13+400 \ Поверхностная обработка (II вариант)</v>
          </cell>
          <cell r="H113">
            <v>36982</v>
          </cell>
          <cell r="I113">
            <v>37165</v>
          </cell>
          <cell r="J113">
            <v>37072</v>
          </cell>
        </row>
        <row r="114">
          <cell r="A114">
            <v>112</v>
          </cell>
          <cell r="C114" t="str">
            <v>Кореновский</v>
          </cell>
          <cell r="D114" t="str">
            <v>Подъезд к х.Левченко ;  км: 0+000-1+700</v>
          </cell>
          <cell r="F114" t="str">
            <v>Поверхностная обработка (II вариант)</v>
          </cell>
          <cell r="G114" t="str">
            <v>Район: Кореновский \ Подъезд к х.Левченко ;  км: 0+000-1+700 \ Поверхностная обработка (II вариант)</v>
          </cell>
          <cell r="H114">
            <v>36982</v>
          </cell>
          <cell r="I114">
            <v>37165</v>
          </cell>
          <cell r="J114">
            <v>37072</v>
          </cell>
        </row>
        <row r="115">
          <cell r="A115">
            <v>113</v>
          </cell>
          <cell r="C115" t="str">
            <v>Кореновский</v>
          </cell>
          <cell r="D115" t="str">
            <v>Подъезд к п.Пролетарский ;  км: 0+049; 2+204; 3+040; 3+600</v>
          </cell>
          <cell r="F115" t="str">
            <v>Устройство автопавильонов</v>
          </cell>
          <cell r="G115" t="str">
            <v>Район: Кореновский \ Подъезд к п.Пролетарский ;  км: 0+049; 2+204; 3+040; 3+600 \ Устройство автопавильонов</v>
          </cell>
          <cell r="H115">
            <v>36982</v>
          </cell>
          <cell r="I115">
            <v>37165</v>
          </cell>
          <cell r="J115">
            <v>37072</v>
          </cell>
        </row>
        <row r="116">
          <cell r="A116">
            <v>114</v>
          </cell>
          <cell r="C116" t="str">
            <v>Кореновский</v>
          </cell>
          <cell r="D116" t="str">
            <v>Подъезд к с.Братковское ;  км: 0+049</v>
          </cell>
          <cell r="F116" t="str">
            <v>Устройство автопавильонов</v>
          </cell>
          <cell r="G116" t="str">
            <v>Район: Кореновский \ Подъезд к с.Братковское ;  км: 0+049 \ Устройство автопавильонов</v>
          </cell>
          <cell r="H116">
            <v>36982</v>
          </cell>
          <cell r="I116">
            <v>37165</v>
          </cell>
          <cell r="J116">
            <v>37072</v>
          </cell>
        </row>
        <row r="117">
          <cell r="A117">
            <v>115</v>
          </cell>
          <cell r="C117" t="str">
            <v>Кореновский</v>
          </cell>
          <cell r="D117" t="str">
            <v>Подъезд к   п.Комсомольский ;  км: 6+100; 6+258</v>
          </cell>
          <cell r="F117" t="str">
            <v>Устройство автопавильонов</v>
          </cell>
          <cell r="G117" t="str">
            <v>Район: Кореновский \ Подъезд к   п.Комсомольский ;  км: 6+100; 6+258 \ Устройство автопавильонов</v>
          </cell>
          <cell r="H117">
            <v>36982</v>
          </cell>
          <cell r="I117">
            <v>37165</v>
          </cell>
          <cell r="J117">
            <v>37072</v>
          </cell>
        </row>
        <row r="118">
          <cell r="A118">
            <v>116</v>
          </cell>
          <cell r="C118" t="str">
            <v>Кореновский</v>
          </cell>
          <cell r="D118" t="str">
            <v>Кореновск - п.Мирный ;  км: 2+150</v>
          </cell>
          <cell r="F118" t="str">
            <v>Устройство автопавильонов</v>
          </cell>
          <cell r="G118" t="str">
            <v>Район: Кореновский \ Кореновск - п.Мирный ;  км: 2+150 \ Устройство автопавильонов</v>
          </cell>
          <cell r="H118">
            <v>36982</v>
          </cell>
          <cell r="I118">
            <v>37165</v>
          </cell>
          <cell r="J118">
            <v>37072</v>
          </cell>
        </row>
        <row r="119">
          <cell r="A119">
            <v>117</v>
          </cell>
          <cell r="C119" t="str">
            <v>Кореновский</v>
          </cell>
          <cell r="D119" t="str">
            <v>Подъезд к с.Братковское ;  км: 14+700-15+000</v>
          </cell>
          <cell r="F119" t="str">
            <v>Устройство тротуаров и пешеходных дорожек</v>
          </cell>
          <cell r="G119" t="str">
            <v>Район: Кореновский \ Подъезд к с.Братковское ;  км: 14+700-15+000 \ Устройство тротуаров и пешеходных дорожек</v>
          </cell>
          <cell r="H119">
            <v>36982</v>
          </cell>
          <cell r="I119">
            <v>37165</v>
          </cell>
          <cell r="J119">
            <v>37072</v>
          </cell>
        </row>
        <row r="120">
          <cell r="A120">
            <v>118</v>
          </cell>
          <cell r="C120" t="str">
            <v>Красноармейский</v>
          </cell>
          <cell r="D120" t="str">
            <v>Темрюк - Краснодар - Кропоткин ;  км: 104+700-107+000</v>
          </cell>
          <cell r="F120" t="str">
            <v>Поверхностная обработка (II вариант)</v>
          </cell>
          <cell r="G120" t="str">
            <v>Район: Красноармейский \ Темрюк - Краснодар - Кропоткин ;  км: 104+700-107+000 \ Поверхностная обработка (II вариант)</v>
          </cell>
          <cell r="H120">
            <v>36982</v>
          </cell>
          <cell r="I120">
            <v>37165</v>
          </cell>
          <cell r="J120">
            <v>37072</v>
          </cell>
        </row>
        <row r="121">
          <cell r="A121">
            <v>119</v>
          </cell>
          <cell r="C121" t="str">
            <v>Красноармейский</v>
          </cell>
          <cell r="D121" t="str">
            <v>Протоцкий-Васильченки ;  км: 1+850-2+400 ; 8+000-10+000</v>
          </cell>
          <cell r="F121" t="str">
            <v>Поверхностная обработка (II вариант)</v>
          </cell>
          <cell r="G121" t="str">
            <v>Район: Красноармейский \ Протоцкий-Васильченки ;  км: 1+850-2+400 ; 8+000-10+000 \ Поверхностная обработка (II вариант)</v>
          </cell>
          <cell r="H121">
            <v>36982</v>
          </cell>
          <cell r="I121">
            <v>37165</v>
          </cell>
          <cell r="J121">
            <v>37072</v>
          </cell>
        </row>
        <row r="122">
          <cell r="A122">
            <v>120</v>
          </cell>
          <cell r="C122" t="str">
            <v>Красноармейский</v>
          </cell>
          <cell r="D122" t="str">
            <v>Полтавская - Чебурголь - Гривенская ;  км: 5+700-12+950 ; 33+600-36+600</v>
          </cell>
          <cell r="F122" t="str">
            <v>Поверхностная обработка (II вариант)</v>
          </cell>
          <cell r="G122" t="str">
            <v>Район: Красноармейский \ Полтавская - Чебурголь - Гривенская ;  км: 5+700-12+950 ; 33+600-36+600 \ Поверхностная обработка (II вариант)</v>
          </cell>
          <cell r="H122">
            <v>36982</v>
          </cell>
          <cell r="I122">
            <v>37165</v>
          </cell>
          <cell r="J122">
            <v>37072</v>
          </cell>
        </row>
        <row r="123">
          <cell r="A123">
            <v>121</v>
          </cell>
          <cell r="C123" t="str">
            <v>Красноармейский</v>
          </cell>
          <cell r="D123" t="str">
            <v>Тимашевск - Славянск-на-Кубани - Крымск ;  км: 38+100-42+000</v>
          </cell>
          <cell r="F123" t="str">
            <v>Поверхностная обработка (II вариант)</v>
          </cell>
          <cell r="G123" t="str">
            <v>Район: Красноармейский \ Тимашевск - Славянск-на-Кубани - Крымск ;  км: 38+100-42+000 \ Поверхностная обработка (II вариант)</v>
          </cell>
          <cell r="H123">
            <v>36982</v>
          </cell>
          <cell r="I123">
            <v>37165</v>
          </cell>
          <cell r="J123">
            <v>37072</v>
          </cell>
        </row>
        <row r="124">
          <cell r="A124">
            <v>122</v>
          </cell>
          <cell r="C124" t="str">
            <v>Красноармейский</v>
          </cell>
          <cell r="D124" t="str">
            <v>Трудобеликовский - Ивановская пристань ;  км: 10+500-11+400</v>
          </cell>
          <cell r="F124" t="str">
            <v>Поверхностная обработка (II вариант)</v>
          </cell>
          <cell r="G124" t="str">
            <v>Район: Красноармейский \ Трудобеликовский - Ивановская пристань ;  км: 10+500-11+400 \ Поверхностная обработка (II вариант)</v>
          </cell>
          <cell r="H124">
            <v>36982</v>
          </cell>
          <cell r="I124">
            <v>37165</v>
          </cell>
          <cell r="J124">
            <v>37072</v>
          </cell>
        </row>
        <row r="125">
          <cell r="A125">
            <v>123</v>
          </cell>
          <cell r="C125" t="str">
            <v>Красноармейский</v>
          </cell>
          <cell r="D125" t="str">
            <v>Трудобеликовский - Ивановская пристань ;  км: 3+600-6+200</v>
          </cell>
          <cell r="F125" t="str">
            <v>Облегченный ремонт - III вариант</v>
          </cell>
          <cell r="G125" t="str">
            <v>Район: Красноармейский \ Трудобеликовский - Ивановская пристань ;  км: 3+600-6+200 \ Облегченный ремонт - III вариант</v>
          </cell>
          <cell r="H125">
            <v>36982</v>
          </cell>
          <cell r="I125">
            <v>37165</v>
          </cell>
          <cell r="J125">
            <v>37072</v>
          </cell>
        </row>
        <row r="126">
          <cell r="A126">
            <v>124</v>
          </cell>
          <cell r="C126" t="str">
            <v>Красноармейский</v>
          </cell>
          <cell r="D126" t="str">
            <v>Темрюк - Краснодар - Кропоткин ;  км: 65+100</v>
          </cell>
          <cell r="F126" t="str">
            <v>Устройство переходно-скоростных полос</v>
          </cell>
          <cell r="G126" t="str">
            <v>Район: Красноармейский \ Темрюк - Краснодар - Кропоткин ;  км: 65+100 \ Устройство переходно-скоростных полос</v>
          </cell>
          <cell r="H126">
            <v>36982</v>
          </cell>
          <cell r="I126">
            <v>37165</v>
          </cell>
          <cell r="J126">
            <v>37072</v>
          </cell>
        </row>
        <row r="127">
          <cell r="A127">
            <v>125</v>
          </cell>
          <cell r="C127" t="str">
            <v>Красноармейский</v>
          </cell>
          <cell r="D127" t="str">
            <v>Подъезд к ж/д ст.Полтавская ;  км: 2+150</v>
          </cell>
          <cell r="F127" t="str">
            <v>Ремонт покрытия на съездах</v>
          </cell>
          <cell r="G127" t="str">
            <v>Район: Красноармейский \ Подъезд к ж/д ст.Полтавская ;  км: 2+150 \ Ремонт покрытия на съездах</v>
          </cell>
          <cell r="H127">
            <v>36982</v>
          </cell>
          <cell r="I127">
            <v>37165</v>
          </cell>
          <cell r="J127">
            <v>37072</v>
          </cell>
        </row>
        <row r="128">
          <cell r="A128">
            <v>126</v>
          </cell>
          <cell r="C128" t="str">
            <v>Красноармейский</v>
          </cell>
          <cell r="D128" t="str">
            <v>Полтавская - Чебурголь - Гривенская ;  км: 1+950</v>
          </cell>
          <cell r="F128" t="str">
            <v>Ремонт покрытия на съездах</v>
          </cell>
          <cell r="G128" t="str">
            <v>Район: Красноармейский \ Полтавская - Чебурголь - Гривенская ;  км: 1+950 \ Ремонт покрытия на съездах</v>
          </cell>
          <cell r="H128">
            <v>36982</v>
          </cell>
          <cell r="I128">
            <v>37165</v>
          </cell>
          <cell r="J128">
            <v>37072</v>
          </cell>
        </row>
        <row r="129">
          <cell r="A129">
            <v>127</v>
          </cell>
          <cell r="C129" t="str">
            <v>Красноармейский</v>
          </cell>
          <cell r="D129" t="str">
            <v>Подъезд к ж/д ст.Полтавская ;  км: 0+650</v>
          </cell>
          <cell r="F129" t="str">
            <v>Ремонт покрытия на съездах</v>
          </cell>
          <cell r="G129" t="str">
            <v>Район: Красноармейский \ Подъезд к ж/д ст.Полтавская ;  км: 0+650 \ Ремонт покрытия на съездах</v>
          </cell>
          <cell r="H129">
            <v>36982</v>
          </cell>
          <cell r="I129">
            <v>37165</v>
          </cell>
          <cell r="J129">
            <v>37072</v>
          </cell>
        </row>
        <row r="130">
          <cell r="A130">
            <v>128</v>
          </cell>
          <cell r="C130" t="str">
            <v>Красноармейский</v>
          </cell>
          <cell r="D130" t="str">
            <v>Трудобеликовский - Полтавская - Гривенская ;  км: 9+900</v>
          </cell>
          <cell r="F130" t="str">
            <v>Ремонт покрытия на съездах</v>
          </cell>
          <cell r="G130" t="str">
            <v>Район: Красноармейский \ Трудобеликовский - Полтавская - Гривенская ;  км: 9+900 \ Ремонт покрытия на съездах</v>
          </cell>
          <cell r="H130">
            <v>36982</v>
          </cell>
          <cell r="I130">
            <v>37165</v>
          </cell>
          <cell r="J130">
            <v>37072</v>
          </cell>
        </row>
        <row r="131">
          <cell r="A131">
            <v>129</v>
          </cell>
          <cell r="C131" t="str">
            <v>Красноармейский</v>
          </cell>
          <cell r="D131" t="str">
            <v>Темрюк - Краснодар - Кропоткин ;  км: 64+700-120+000</v>
          </cell>
          <cell r="F131" t="str">
            <v>Устройство съездов с твердым покрытием</v>
          </cell>
          <cell r="G131" t="str">
            <v>Район: Красноармейский \ Темрюк - Краснодар - Кропоткин ;  км: 64+700-120+000 \ Устройство съездов с твердым покрытием</v>
          </cell>
          <cell r="H131">
            <v>36982</v>
          </cell>
          <cell r="I131">
            <v>37165</v>
          </cell>
          <cell r="J131">
            <v>37072</v>
          </cell>
        </row>
        <row r="132">
          <cell r="A132">
            <v>130</v>
          </cell>
          <cell r="C132" t="str">
            <v>Красноармейский</v>
          </cell>
          <cell r="D132" t="str">
            <v>Тимашевск - Славянск-на-Кубани - Крымск ;  км: 38+100-87+506</v>
          </cell>
          <cell r="F132" t="str">
            <v>Устройство съездов с твердым покрытием</v>
          </cell>
          <cell r="G132" t="str">
            <v>Район: Красноармейский \ Тимашевск - Славянск-на-Кубани - Крымск ;  км: 38+100-87+506 \ Устройство съездов с твердым покрытием</v>
          </cell>
          <cell r="H132">
            <v>36982</v>
          </cell>
          <cell r="I132">
            <v>37165</v>
          </cell>
          <cell r="J132">
            <v>37072</v>
          </cell>
        </row>
        <row r="133">
          <cell r="A133">
            <v>131</v>
          </cell>
          <cell r="C133" t="str">
            <v>Красноармейский</v>
          </cell>
          <cell r="D133" t="str">
            <v>Тимашевск - Славянск-на-Кубани - Крымск ;  км: 68+500</v>
          </cell>
          <cell r="F133" t="str">
            <v>Ремонт остановочных площадок</v>
          </cell>
          <cell r="G133" t="str">
            <v>Район: Красноармейский \ Тимашевск - Славянск-на-Кубани - Крымск ;  км: 68+500 \ Ремонт остановочных площадок</v>
          </cell>
          <cell r="H133">
            <v>36982</v>
          </cell>
          <cell r="I133">
            <v>37165</v>
          </cell>
          <cell r="J133">
            <v>37072</v>
          </cell>
        </row>
        <row r="134">
          <cell r="A134">
            <v>132</v>
          </cell>
          <cell r="C134" t="str">
            <v>Красноармейский</v>
          </cell>
          <cell r="D134" t="str">
            <v>Новомышастовская - Федоровский гидроузел ;  км: 0+100</v>
          </cell>
          <cell r="F134" t="str">
            <v>Ремонт остановочных площадок</v>
          </cell>
          <cell r="G134" t="str">
            <v>Район: Красноармейский \ Новомышастовская - Федоровский гидроузел ;  км: 0+100 \ Ремонт остановочных площадок</v>
          </cell>
          <cell r="H134">
            <v>36982</v>
          </cell>
          <cell r="I134">
            <v>37165</v>
          </cell>
          <cell r="J134">
            <v>37072</v>
          </cell>
        </row>
        <row r="135">
          <cell r="A135">
            <v>133</v>
          </cell>
          <cell r="C135" t="str">
            <v>Красноармейский</v>
          </cell>
          <cell r="D135" t="str">
            <v>Темрюк - Краснодар - Кропоткин ;  км: 88+500-89+500</v>
          </cell>
          <cell r="F135" t="str">
            <v>Ремонт тротуаров и пешеходных дорожек</v>
          </cell>
          <cell r="G135" t="str">
            <v>Район: Красноармейский \ Темрюк - Краснодар - Кропоткин ;  км: 88+500-89+500 \ Ремонт тротуаров и пешеходных дорожек</v>
          </cell>
          <cell r="H135">
            <v>36982</v>
          </cell>
          <cell r="I135">
            <v>37165</v>
          </cell>
          <cell r="J135">
            <v>37072</v>
          </cell>
        </row>
        <row r="136">
          <cell r="A136">
            <v>134</v>
          </cell>
          <cell r="C136" t="str">
            <v>Красноармейский</v>
          </cell>
          <cell r="D136" t="str">
            <v>Тимашевск - Славянск-на-Кубани - Крымск ;  км: 50+200-50+600</v>
          </cell>
          <cell r="F136" t="str">
            <v>Ремонт тротуаров и пешеходных дорожек</v>
          </cell>
          <cell r="G136" t="str">
            <v>Район: Красноармейский \ Тимашевск - Славянск-на-Кубани - Крымск ;  км: 50+200-50+600 \ Ремонт тротуаров и пешеходных дорожек</v>
          </cell>
          <cell r="H136">
            <v>36982</v>
          </cell>
          <cell r="I136">
            <v>37165</v>
          </cell>
          <cell r="J136">
            <v>37072</v>
          </cell>
        </row>
        <row r="137">
          <cell r="A137">
            <v>135</v>
          </cell>
          <cell r="C137" t="str">
            <v>Крыловский</v>
          </cell>
          <cell r="D137" t="str">
            <v>Темп - Решитиловский ;  км: 0+000-25+300</v>
          </cell>
          <cell r="F137" t="str">
            <v>Поверхностная обработка (II вариант)</v>
          </cell>
          <cell r="G137" t="str">
            <v>Район: Крыловский \ Темп - Решитиловский ;  км: 0+000-25+300 \ Поверхностная обработка (II вариант)</v>
          </cell>
          <cell r="H137">
            <v>36982</v>
          </cell>
          <cell r="I137">
            <v>37165</v>
          </cell>
          <cell r="J137">
            <v>37072</v>
          </cell>
        </row>
        <row r="138">
          <cell r="A138">
            <v>136</v>
          </cell>
          <cell r="C138" t="str">
            <v>Крыловский</v>
          </cell>
          <cell r="D138" t="str">
            <v>Крыловская - Новопашковское - Тверской ;  км: 3+000-6+400 ; 23+500-26+900</v>
          </cell>
          <cell r="F138" t="str">
            <v>Поверхностная обработка (II вариант)</v>
          </cell>
          <cell r="G138" t="str">
            <v>Район: Крыловский \ Крыловская - Новопашковское - Тверской ;  км: 3+000-6+400 ; 23+500-26+900 \ Поверхностная обработка (II вариант)</v>
          </cell>
          <cell r="H138">
            <v>36982</v>
          </cell>
          <cell r="I138">
            <v>37165</v>
          </cell>
          <cell r="J138">
            <v>37072</v>
          </cell>
        </row>
        <row r="139">
          <cell r="A139">
            <v>137</v>
          </cell>
          <cell r="C139" t="str">
            <v>Крымский</v>
          </cell>
          <cell r="D139" t="str">
            <v>Тимашевск-Славянск-Крымск км 109+800-112+250,112+800-114+000</v>
          </cell>
          <cell r="F139" t="str">
            <v>Устройство ограждения</v>
          </cell>
          <cell r="G139" t="str">
            <v>Район: Крымский \ Тимашевск-Славянск-Крымск км 109+800-112+250,112+800-114+000 \ Устройство ограждения</v>
          </cell>
          <cell r="H139">
            <v>36982</v>
          </cell>
          <cell r="I139">
            <v>37165</v>
          </cell>
          <cell r="J139">
            <v>37072</v>
          </cell>
        </row>
        <row r="140">
          <cell r="A140">
            <v>138</v>
          </cell>
          <cell r="C140" t="str">
            <v>Крымский</v>
          </cell>
          <cell r="D140" t="str">
            <v>Андреева Гора-Варениковская-Анапа км 9+500-10+575</v>
          </cell>
          <cell r="F140" t="str">
            <v>Устройство ограждения</v>
          </cell>
          <cell r="G140" t="str">
            <v>Район: Крымский \ Андреева Гора-Варениковская-Анапа км 9+500-10+575 \ Устройство ограждения</v>
          </cell>
          <cell r="H140">
            <v>36982</v>
          </cell>
          <cell r="I140">
            <v>37165</v>
          </cell>
          <cell r="J140">
            <v>37072</v>
          </cell>
        </row>
        <row r="141">
          <cell r="A141">
            <v>139</v>
          </cell>
          <cell r="C141" t="str">
            <v>Крымский</v>
          </cell>
          <cell r="D141" t="str">
            <v>Подъезд к х.Адагум, км 0+000 - км 3+490</v>
          </cell>
          <cell r="F141" t="str">
            <v>Поверхностная обработка (II вариант)</v>
          </cell>
          <cell r="G141" t="str">
            <v>Район: Крымский \ Подъезд к х.Адагум, км 0+000 - км 3+490 \ Поверхностная обработка (II вариант)</v>
          </cell>
          <cell r="H141">
            <v>36982</v>
          </cell>
          <cell r="I141">
            <v>37165</v>
          </cell>
          <cell r="J141">
            <v>37072</v>
          </cell>
        </row>
        <row r="142">
          <cell r="A142">
            <v>140</v>
          </cell>
          <cell r="C142" t="str">
            <v>Крымский</v>
          </cell>
          <cell r="D142" t="str">
            <v>Подъезд к Богогоевскому карьеру, км 0+000 - км 5+220</v>
          </cell>
          <cell r="F142" t="str">
            <v>Поверхностная обработка (II вариант)</v>
          </cell>
          <cell r="G142" t="str">
            <v>Район: Крымский \ Подъезд к Богогоевскому карьеру, км 0+000 - км 5+220 \ Поверхностная обработка (II вариант)</v>
          </cell>
          <cell r="H142">
            <v>36982</v>
          </cell>
          <cell r="I142">
            <v>37165</v>
          </cell>
          <cell r="J142">
            <v>37072</v>
          </cell>
        </row>
        <row r="143">
          <cell r="A143">
            <v>141</v>
          </cell>
          <cell r="C143" t="str">
            <v>Крымский</v>
          </cell>
          <cell r="D143" t="str">
            <v>Крымск - Аккерменка ;  км: 18+300-24+000</v>
          </cell>
          <cell r="F143" t="str">
            <v>Капитальный ремонт с усилением дорожной одежды</v>
          </cell>
          <cell r="G143" t="str">
            <v>Район: Крымский \ Крымск - Аккерменка ;  км: 18+300-24+000 \ Капитальный ремонт с усилением дорожной одежды</v>
          </cell>
          <cell r="H143">
            <v>36982</v>
          </cell>
          <cell r="I143">
            <v>37165</v>
          </cell>
          <cell r="J143">
            <v>37072</v>
          </cell>
        </row>
        <row r="144">
          <cell r="A144">
            <v>142</v>
          </cell>
          <cell r="C144" t="str">
            <v>Курганинский</v>
          </cell>
          <cell r="D144" t="str">
            <v>Усть-Лабинск - Лабинск - Упорная ;  км: 85+000-93+300</v>
          </cell>
          <cell r="F144" t="str">
            <v>Поверхностная обработка (II вариант)</v>
          </cell>
          <cell r="G144" t="str">
            <v>Район: Курганинский \ Усть-Лабинск - Лабинск - Упорная ;  км: 85+000-93+300 \ Поверхностная обработка (II вариант)</v>
          </cell>
          <cell r="H144">
            <v>36982</v>
          </cell>
          <cell r="I144">
            <v>37165</v>
          </cell>
          <cell r="J144">
            <v>37072</v>
          </cell>
        </row>
        <row r="145">
          <cell r="A145">
            <v>143</v>
          </cell>
          <cell r="C145" t="str">
            <v>Курганинский</v>
          </cell>
          <cell r="D145" t="str">
            <v>Усть-Лабинск -Лабинск-Упорная ;  км: 60+000-63+500</v>
          </cell>
          <cell r="F145" t="str">
            <v>Поверхностная обработка (II вариант)</v>
          </cell>
          <cell r="G145" t="str">
            <v>Район: Курганинский \ Усть-Лабинск -Лабинск-Упорная ;  км: 60+000-63+500 \ Поверхностная обработка (II вариант)</v>
          </cell>
          <cell r="H145">
            <v>36982</v>
          </cell>
          <cell r="I145">
            <v>37165</v>
          </cell>
          <cell r="J145">
            <v>37072</v>
          </cell>
        </row>
        <row r="146">
          <cell r="A146">
            <v>144</v>
          </cell>
          <cell r="C146" t="str">
            <v>Курганинский</v>
          </cell>
          <cell r="D146" t="str">
            <v>Михайловская-Южный ;  км: 0+000-2+200</v>
          </cell>
          <cell r="F146" t="str">
            <v>Поверхностная обработка (II вариант)</v>
          </cell>
          <cell r="G146" t="str">
            <v>Район: Курганинский \ Михайловская-Южный ;  км: 0+000-2+200 \ Поверхностная обработка (II вариант)</v>
          </cell>
          <cell r="H146">
            <v>36982</v>
          </cell>
          <cell r="I146">
            <v>37165</v>
          </cell>
          <cell r="J146">
            <v>37072</v>
          </cell>
        </row>
        <row r="147">
          <cell r="A147">
            <v>145</v>
          </cell>
          <cell r="C147" t="str">
            <v>Курганинский</v>
          </cell>
          <cell r="D147" t="str">
            <v>Усть-Лабинск - Лабинск - Упорная ;  км: 93+300-100+300 (на участке 93+300-96+300)</v>
          </cell>
          <cell r="F147" t="str">
            <v>Облегченный ремонт - III вариант</v>
          </cell>
          <cell r="G147" t="str">
            <v>Район: Курганинский \ Усть-Лабинск - Лабинск - Упорная ;  км: 93+300-100+300 (на участке 93+300-96+300) \ Облегченный ремонт - III вариант</v>
          </cell>
          <cell r="H147">
            <v>36982</v>
          </cell>
          <cell r="I147">
            <v>37165</v>
          </cell>
          <cell r="J147">
            <v>37072</v>
          </cell>
        </row>
        <row r="148">
          <cell r="A148">
            <v>146</v>
          </cell>
          <cell r="C148" t="str">
            <v>Курганинский</v>
          </cell>
          <cell r="D148" t="str">
            <v>Усть-Лабинск - Лабинск - Упорная ;  км: 100+300-101+940</v>
          </cell>
          <cell r="F148" t="str">
            <v>Уширение земполотна и проезжей части (комплекс)</v>
          </cell>
          <cell r="G148" t="str">
            <v>Район: Курганинский \ Усть-Лабинск - Лабинск - Упорная ;  км: 100+300-101+940 \ Уширение земполотна и проезжей части (комплекс)</v>
          </cell>
          <cell r="H148">
            <v>36982</v>
          </cell>
          <cell r="I148">
            <v>37165</v>
          </cell>
          <cell r="J148">
            <v>37072</v>
          </cell>
        </row>
        <row r="149">
          <cell r="A149">
            <v>147</v>
          </cell>
          <cell r="C149" t="str">
            <v>Курганинский</v>
          </cell>
          <cell r="D149" t="str">
            <v>Родниковская - Новоалексеевская ;  км: 0+200 ; 2+457</v>
          </cell>
          <cell r="F149" t="str">
            <v>Ремонт водопропускных труб</v>
          </cell>
          <cell r="G149" t="str">
            <v>Район: Курганинский \ Родниковская - Новоалексеевская ;  км: 0+200 ; 2+457 \ Ремонт водопропускных труб</v>
          </cell>
          <cell r="H149">
            <v>36982</v>
          </cell>
          <cell r="I149">
            <v>37165</v>
          </cell>
          <cell r="J149">
            <v>37072</v>
          </cell>
        </row>
        <row r="150">
          <cell r="A150">
            <v>148</v>
          </cell>
          <cell r="C150" t="str">
            <v>Курганинский</v>
          </cell>
          <cell r="D150" t="str">
            <v>Михайловская - Южный ;  км: 0+020</v>
          </cell>
          <cell r="F150" t="str">
            <v>Ремонт водопропускных труб</v>
          </cell>
          <cell r="G150" t="str">
            <v>Район: Курганинский \ Михайловская - Южный ;  км: 0+020 \ Ремонт водопропускных труб</v>
          </cell>
          <cell r="H150">
            <v>36982</v>
          </cell>
          <cell r="I150">
            <v>37165</v>
          </cell>
          <cell r="J150">
            <v>37072</v>
          </cell>
        </row>
        <row r="151">
          <cell r="A151">
            <v>149</v>
          </cell>
          <cell r="C151" t="str">
            <v>Курганинский</v>
          </cell>
          <cell r="D151" t="str">
            <v>Армавир - Курганинск ;  км: 31+950</v>
          </cell>
          <cell r="F151" t="str">
            <v>Ремонт водопропускных труб</v>
          </cell>
          <cell r="G151" t="str">
            <v>Район: Курганинский \ Армавир - Курганинск ;  км: 31+950 \ Ремонт водопропускных труб</v>
          </cell>
          <cell r="H151">
            <v>36982</v>
          </cell>
          <cell r="I151">
            <v>37165</v>
          </cell>
          <cell r="J151">
            <v>37072</v>
          </cell>
        </row>
        <row r="152">
          <cell r="A152">
            <v>150</v>
          </cell>
          <cell r="C152" t="str">
            <v>Курганинский</v>
          </cell>
          <cell r="D152" t="str">
            <v>Подъезд к г.Курганинск ;  км: 0+300; 1+750</v>
          </cell>
          <cell r="F152" t="str">
            <v>Ремонт водопропускных труб</v>
          </cell>
          <cell r="G152" t="str">
            <v>Район: Курганинский \ Подъезд к г.Курганинск ;  км: 0+300; 1+750 \ Ремонт водопропускных труб</v>
          </cell>
          <cell r="H152">
            <v>36982</v>
          </cell>
          <cell r="I152">
            <v>37165</v>
          </cell>
          <cell r="J152">
            <v>37072</v>
          </cell>
        </row>
        <row r="153">
          <cell r="A153">
            <v>151</v>
          </cell>
          <cell r="C153" t="str">
            <v>Кущевский</v>
          </cell>
          <cell r="D153" t="str">
            <v>Подъезд к    п.Первомайский ;  км: 6+000-7+700</v>
          </cell>
          <cell r="F153" t="str">
            <v>Поверхностная обработка (II вариант)</v>
          </cell>
          <cell r="G153" t="str">
            <v>Район: Кущевский \ Подъезд к    п.Первомайский ;  км: 6+000-7+700 \ Поверхностная обработка (II вариант)</v>
          </cell>
          <cell r="H153">
            <v>36982</v>
          </cell>
          <cell r="I153">
            <v>37165</v>
          </cell>
          <cell r="J153">
            <v>37072</v>
          </cell>
        </row>
        <row r="154">
          <cell r="A154">
            <v>152</v>
          </cell>
          <cell r="C154" t="str">
            <v>Кущевский</v>
          </cell>
          <cell r="D154" t="str">
            <v>Красное - Средние Чубурки ;  км: 0+000-6+000 ; 17+000-20+900</v>
          </cell>
          <cell r="F154" t="str">
            <v>Поверхностная обработка (II вариант)</v>
          </cell>
          <cell r="G154" t="str">
            <v>Район: Кущевский \ Красное - Средние Чубурки ;  км: 0+000-6+000 ; 17+000-20+900 \ Поверхностная обработка (II вариант)</v>
          </cell>
          <cell r="H154">
            <v>36982</v>
          </cell>
          <cell r="I154">
            <v>37165</v>
          </cell>
          <cell r="J154">
            <v>37072</v>
          </cell>
        </row>
        <row r="155">
          <cell r="A155">
            <v>153</v>
          </cell>
          <cell r="C155" t="str">
            <v>Кущевский</v>
          </cell>
          <cell r="D155" t="str">
            <v>Подъезд к  п.Комсомольский ;  км: 0+000-14+700</v>
          </cell>
          <cell r="F155" t="str">
            <v>Поверхностная обработка (II вариант)</v>
          </cell>
          <cell r="G155" t="str">
            <v>Район: Кущевский \ Подъезд к  п.Комсомольский ;  км: 0+000-14+700 \ Поверхностная обработка (II вариант)</v>
          </cell>
          <cell r="H155">
            <v>36982</v>
          </cell>
          <cell r="I155">
            <v>37165</v>
          </cell>
          <cell r="J155">
            <v>37072</v>
          </cell>
        </row>
        <row r="156">
          <cell r="A156">
            <v>154</v>
          </cell>
          <cell r="C156" t="str">
            <v>Кущевский</v>
          </cell>
          <cell r="D156" t="str">
            <v>Алексеевская - Полтавченское ;  км: 3+500-5+000</v>
          </cell>
          <cell r="F156" t="str">
            <v>Поверхностная обработка (II вариант)</v>
          </cell>
          <cell r="G156" t="str">
            <v>Район: Кущевский \ Алексеевская - Полтавченское ;  км: 3+500-5+000 \ Поверхностная обработка (II вариант)</v>
          </cell>
          <cell r="H156">
            <v>36982</v>
          </cell>
          <cell r="I156">
            <v>37165</v>
          </cell>
          <cell r="J156">
            <v>37072</v>
          </cell>
        </row>
        <row r="157">
          <cell r="A157">
            <v>155</v>
          </cell>
          <cell r="C157" t="str">
            <v>Кущевский</v>
          </cell>
          <cell r="D157" t="str">
            <v>Подъезд к х.Глебовка ;  км: 0+000-15+000</v>
          </cell>
          <cell r="F157" t="str">
            <v>Поверхностная обработка (II вариант)</v>
          </cell>
          <cell r="G157" t="str">
            <v>Район: Кущевский \ Подъезд к х.Глебовка ;  км: 0+000-15+000 \ Поверхностная обработка (II вариант)</v>
          </cell>
          <cell r="H157">
            <v>36982</v>
          </cell>
          <cell r="I157">
            <v>37165</v>
          </cell>
          <cell r="J157">
            <v>37072</v>
          </cell>
        </row>
        <row r="158">
          <cell r="A158">
            <v>156</v>
          </cell>
          <cell r="C158" t="str">
            <v>Кущевский</v>
          </cell>
          <cell r="D158" t="str">
            <v>Подъезд к ХПП ;  км: 1+200-4+900</v>
          </cell>
          <cell r="F158" t="str">
            <v>Облегченный ремонт - III вариант</v>
          </cell>
          <cell r="G158" t="str">
            <v>Район: Кущевский \ Подъезд к ХПП ;  км: 1+200-4+900 \ Облегченный ремонт - III вариант</v>
          </cell>
          <cell r="H158">
            <v>36982</v>
          </cell>
          <cell r="I158">
            <v>37165</v>
          </cell>
          <cell r="J158">
            <v>37072</v>
          </cell>
        </row>
        <row r="159">
          <cell r="A159">
            <v>157</v>
          </cell>
          <cell r="C159" t="str">
            <v>Ленинградский</v>
          </cell>
          <cell r="D159" t="str">
            <v>Новоплатнировская - Ленинградская - Павловская ;  км: 3+820-11+260</v>
          </cell>
          <cell r="F159" t="str">
            <v>Поверхностная обработка (II вариант)</v>
          </cell>
          <cell r="G159" t="str">
            <v>Район: Ленинградский \ Новоплатнировская - Ленинградская - Павловская ;  км: 3+820-11+260 \ Поверхностная обработка (II вариант)</v>
          </cell>
          <cell r="H159">
            <v>36982</v>
          </cell>
          <cell r="I159">
            <v>37165</v>
          </cell>
          <cell r="J159">
            <v>37072</v>
          </cell>
        </row>
        <row r="160">
          <cell r="A160">
            <v>158</v>
          </cell>
          <cell r="C160" t="str">
            <v>Ленинградский</v>
          </cell>
          <cell r="D160" t="str">
            <v>Образцовый - Новоплатнировская - Крыловская ;  км: 0+000-10+150</v>
          </cell>
          <cell r="F160" t="str">
            <v>Поверхностная обработка (II вариант)</v>
          </cell>
          <cell r="G160" t="str">
            <v>Район: Ленинградский \ Образцовый - Новоплатнировская - Крыловская ;  км: 0+000-10+150 \ Поверхностная обработка (II вариант)</v>
          </cell>
          <cell r="H160">
            <v>36982</v>
          </cell>
          <cell r="I160">
            <v>37165</v>
          </cell>
          <cell r="J160">
            <v>37072</v>
          </cell>
        </row>
        <row r="161">
          <cell r="A161">
            <v>159</v>
          </cell>
          <cell r="C161" t="str">
            <v>Ленинградский</v>
          </cell>
          <cell r="D161" t="str">
            <v>Подъезд к х.Западный ;  км: 0+000-4+300</v>
          </cell>
          <cell r="F161" t="str">
            <v>Поверхностная обработка (II вариант)</v>
          </cell>
          <cell r="G161" t="str">
            <v>Район: Ленинградский \ Подъезд к х.Западный ;  км: 0+000-4+300 \ Поверхностная обработка (II вариант)</v>
          </cell>
          <cell r="H161">
            <v>36982</v>
          </cell>
          <cell r="I161">
            <v>37165</v>
          </cell>
          <cell r="J161">
            <v>37072</v>
          </cell>
        </row>
        <row r="162">
          <cell r="A162">
            <v>160</v>
          </cell>
          <cell r="C162" t="str">
            <v>Мостовский</v>
          </cell>
          <cell r="D162" t="str">
            <v>Ходзь - Мостовской - Соленое ;  км: 173+700-181+200</v>
          </cell>
          <cell r="F162" t="str">
            <v>Поверхностная обработка (II вариант)</v>
          </cell>
          <cell r="G162" t="str">
            <v>Район: Мостовский \ Ходзь - Мостовской - Соленое ;  км: 173+700-181+200 \ Поверхностная обработка (II вариант)</v>
          </cell>
          <cell r="H162">
            <v>36982</v>
          </cell>
          <cell r="I162">
            <v>37165</v>
          </cell>
          <cell r="J162">
            <v>37072</v>
          </cell>
        </row>
        <row r="163">
          <cell r="A163">
            <v>161</v>
          </cell>
          <cell r="C163" t="str">
            <v>Мостовский</v>
          </cell>
          <cell r="D163" t="str">
            <v>Ходзь - Мостовской - Соленое ;  км: 197+500-202+400</v>
          </cell>
          <cell r="F163" t="str">
            <v>Поверхностная обработка (II вариант)</v>
          </cell>
          <cell r="G163" t="str">
            <v>Район: Мостовский \ Ходзь - Мостовской - Соленое ;  км: 197+500-202+400 \ Поверхностная обработка (II вариант)</v>
          </cell>
          <cell r="H163">
            <v>36982</v>
          </cell>
          <cell r="I163">
            <v>37165</v>
          </cell>
          <cell r="J163">
            <v>37072</v>
          </cell>
        </row>
        <row r="164">
          <cell r="A164">
            <v>162</v>
          </cell>
          <cell r="C164" t="str">
            <v>Мостовский</v>
          </cell>
          <cell r="D164" t="str">
            <v>Ярославская - Унароково ;  км: 16+000-21+800</v>
          </cell>
          <cell r="F164" t="str">
            <v>Поверхностная обработка (II вариант)</v>
          </cell>
          <cell r="G164" t="str">
            <v>Район: Мостовский \ Ярославская - Унароково ;  км: 16+000-21+800 \ Поверхностная обработка (II вариант)</v>
          </cell>
          <cell r="H164">
            <v>36982</v>
          </cell>
          <cell r="I164">
            <v>37165</v>
          </cell>
          <cell r="J164">
            <v>37072</v>
          </cell>
        </row>
        <row r="165">
          <cell r="A165">
            <v>163</v>
          </cell>
          <cell r="C165" t="str">
            <v>Мостовский</v>
          </cell>
          <cell r="D165" t="str">
            <v>Мостовской - Хамкетинская ;  км: 17+000-21+000</v>
          </cell>
          <cell r="F165" t="str">
            <v>Облегченный ремонт - III вариант</v>
          </cell>
          <cell r="G165" t="str">
            <v>Район: Мостовский \ Мостовской - Хамкетинская ;  км: 17+000-21+000 \ Облегченный ремонт - III вариант</v>
          </cell>
          <cell r="H165">
            <v>36982</v>
          </cell>
          <cell r="I165">
            <v>37165</v>
          </cell>
          <cell r="J165">
            <v>37072</v>
          </cell>
        </row>
        <row r="166">
          <cell r="A166">
            <v>164</v>
          </cell>
          <cell r="C166" t="str">
            <v>Мостовский</v>
          </cell>
          <cell r="D166" t="str">
            <v>Ярославская - Унароково ;  км: 12+500-14+200</v>
          </cell>
          <cell r="F166" t="str">
            <v>Перевод гравийных и щебеночных дорог в а/б с пов.обр</v>
          </cell>
          <cell r="G166" t="str">
            <v>Район: Мостовский \ Ярославская - Унароково ;  км: 12+500-14+200 \ Перевод гравийных и щебеночных дорог в а/б с пов.обр</v>
          </cell>
          <cell r="H166">
            <v>36982</v>
          </cell>
          <cell r="I166">
            <v>37165</v>
          </cell>
          <cell r="J166">
            <v>37072</v>
          </cell>
        </row>
        <row r="167">
          <cell r="A167">
            <v>165</v>
          </cell>
          <cell r="C167" t="str">
            <v>Новокубанский</v>
          </cell>
          <cell r="D167" t="str">
            <v>Обход г.Новокубанск ;  км: 5+000-8+600</v>
          </cell>
          <cell r="F167" t="str">
            <v>Поверхностная обработка (II вариант)</v>
          </cell>
          <cell r="G167" t="str">
            <v>Район: Новокубанский \ Обход г.Новокубанск ;  км: 5+000-8+600 \ Поверхностная обработка (II вариант)</v>
          </cell>
          <cell r="H167">
            <v>36982</v>
          </cell>
          <cell r="I167">
            <v>37165</v>
          </cell>
          <cell r="J167">
            <v>37072</v>
          </cell>
        </row>
        <row r="168">
          <cell r="A168">
            <v>166</v>
          </cell>
          <cell r="C168" t="str">
            <v>Новокубанский</v>
          </cell>
          <cell r="D168" t="str">
            <v>Новокубанск - Ляпино - Камышеваха ;  км: 2+320-2+320</v>
          </cell>
          <cell r="F168" t="str">
            <v>Восстановление берегозащитных сооружений</v>
          </cell>
          <cell r="G168" t="str">
            <v>Район: Новокубанский \ Новокубанск - Ляпино - Камышеваха ;  км: 2+320-2+320 \ Восстановление берегозащитных сооружений</v>
          </cell>
          <cell r="H168">
            <v>36982</v>
          </cell>
          <cell r="I168">
            <v>37165</v>
          </cell>
          <cell r="J168">
            <v>37072</v>
          </cell>
        </row>
        <row r="169">
          <cell r="A169">
            <v>167</v>
          </cell>
          <cell r="C169" t="str">
            <v>Новопокровский</v>
          </cell>
          <cell r="D169" t="str">
            <v>Сальск - Тихорецк ;  км: 35+194-55+088</v>
          </cell>
          <cell r="F169" t="str">
            <v>Поверхностная обработка (II вариант)</v>
          </cell>
          <cell r="G169" t="str">
            <v>Район: Новопокровский \ Сальск - Тихорецк ;  км: 35+194-55+088 \ Поверхностная обработка (II вариант)</v>
          </cell>
          <cell r="H169">
            <v>36982</v>
          </cell>
          <cell r="I169">
            <v>37165</v>
          </cell>
          <cell r="J169">
            <v>37072</v>
          </cell>
        </row>
        <row r="170">
          <cell r="A170">
            <v>168</v>
          </cell>
          <cell r="C170" t="str">
            <v>Новопокровский</v>
          </cell>
          <cell r="D170" t="str">
            <v>Кавказская - Новопокровская ;  км: 57+260-63+260</v>
          </cell>
          <cell r="F170" t="str">
            <v>Поверхностная обработка (II вариант)</v>
          </cell>
          <cell r="G170" t="str">
            <v>Район: Новопокровский \ Кавказская - Новопокровская ;  км: 57+260-63+260 \ Поверхностная обработка (II вариант)</v>
          </cell>
          <cell r="H170">
            <v>36982</v>
          </cell>
          <cell r="I170">
            <v>37165</v>
          </cell>
          <cell r="J170">
            <v>37072</v>
          </cell>
        </row>
        <row r="171">
          <cell r="A171">
            <v>169</v>
          </cell>
          <cell r="C171" t="str">
            <v>Новопокровский</v>
          </cell>
          <cell r="D171" t="str">
            <v>Новопокровская-Плоская ;  км: 36+300-37+800</v>
          </cell>
          <cell r="F171" t="str">
            <v>Облегченный ремонт - III вариант</v>
          </cell>
          <cell r="G171" t="str">
            <v>Район: Новопокровский \ Новопокровская-Плоская ;  км: 36+300-37+800 \ Облегченный ремонт - III вариант</v>
          </cell>
          <cell r="H171">
            <v>36982</v>
          </cell>
          <cell r="I171">
            <v>37165</v>
          </cell>
          <cell r="J171">
            <v>37072</v>
          </cell>
        </row>
        <row r="172">
          <cell r="A172">
            <v>170</v>
          </cell>
          <cell r="C172" t="str">
            <v>Отрадненский</v>
          </cell>
          <cell r="D172" t="str">
            <v>Отрадная - Спокойная ;  км: 8+500-13+200</v>
          </cell>
          <cell r="F172" t="str">
            <v>Поверхностная обработка (II вариант)</v>
          </cell>
          <cell r="G172" t="str">
            <v>Район: Отрадненский \ Отрадная - Спокойная ;  км: 8+500-13+200 \ Поверхностная обработка (II вариант)</v>
          </cell>
          <cell r="H172">
            <v>36982</v>
          </cell>
          <cell r="I172">
            <v>37165</v>
          </cell>
          <cell r="J172">
            <v>37072</v>
          </cell>
        </row>
        <row r="173">
          <cell r="A173">
            <v>171</v>
          </cell>
          <cell r="C173" t="str">
            <v>Отрадненский</v>
          </cell>
          <cell r="D173" t="str">
            <v>Отрадная - Муравьи ;  км: 1+800-4+500 ; 9+000-15+800</v>
          </cell>
          <cell r="F173" t="str">
            <v>Поверхностная обработка (II вариант)</v>
          </cell>
          <cell r="G173" t="str">
            <v>Район: Отрадненский \ Отрадная - Муравьи ;  км: 1+800-4+500 ; 9+000-15+800 \ Поверхностная обработка (II вариант)</v>
          </cell>
          <cell r="H173">
            <v>36982</v>
          </cell>
          <cell r="I173">
            <v>37165</v>
          </cell>
          <cell r="J173">
            <v>37072</v>
          </cell>
        </row>
        <row r="174">
          <cell r="A174">
            <v>172</v>
          </cell>
          <cell r="C174" t="str">
            <v>Отрадненский</v>
          </cell>
          <cell r="D174" t="str">
            <v>Отрадная - Трактовый ;  км: 4+500-15+000</v>
          </cell>
          <cell r="F174" t="str">
            <v>Поверхностная обработка (II вариант)</v>
          </cell>
          <cell r="G174" t="str">
            <v>Район: Отрадненский \ Отрадная - Трактовый ;  км: 4+500-15+000 \ Поверхностная обработка (II вариант)</v>
          </cell>
          <cell r="H174">
            <v>36982</v>
          </cell>
          <cell r="I174">
            <v>37165</v>
          </cell>
          <cell r="J174">
            <v>37072</v>
          </cell>
        </row>
        <row r="175">
          <cell r="A175">
            <v>173</v>
          </cell>
          <cell r="C175" t="str">
            <v>Отрадненский</v>
          </cell>
          <cell r="D175" t="str">
            <v>Подъезд к племзаводу "Урупский" ;  км: 0+000-2+100</v>
          </cell>
          <cell r="F175" t="str">
            <v>Поверхностная обработка (II вариант)</v>
          </cell>
          <cell r="G175" t="str">
            <v>Район: Отрадненский \ Подъезд к племзаводу "Урупский" ;  км: 0+000-2+100 \ Поверхностная обработка (II вариант)</v>
          </cell>
          <cell r="H175">
            <v>36982</v>
          </cell>
          <cell r="I175">
            <v>37165</v>
          </cell>
          <cell r="J175">
            <v>37072</v>
          </cell>
        </row>
        <row r="176">
          <cell r="A176">
            <v>174</v>
          </cell>
          <cell r="C176" t="str">
            <v>Отрадненский</v>
          </cell>
          <cell r="D176" t="str">
            <v>Обход ст.Отрадная ;  км: 0+000-2+100</v>
          </cell>
          <cell r="F176" t="str">
            <v>Поверхностная обработка (II вариант)</v>
          </cell>
          <cell r="G176" t="str">
            <v>Район: Отрадненский \ Обход ст.Отрадная ;  км: 0+000-2+100 \ Поверхностная обработка (II вариант)</v>
          </cell>
          <cell r="H176">
            <v>36982</v>
          </cell>
          <cell r="I176">
            <v>37165</v>
          </cell>
          <cell r="J176">
            <v>37072</v>
          </cell>
        </row>
        <row r="177">
          <cell r="A177">
            <v>175</v>
          </cell>
          <cell r="C177" t="str">
            <v>Отрадненский</v>
          </cell>
          <cell r="D177" t="str">
            <v>Попутная - Рудь ;  км: 15+000-18+800</v>
          </cell>
          <cell r="F177" t="str">
            <v>Поверхностная обработка (II вариант)</v>
          </cell>
          <cell r="G177" t="str">
            <v>Район: Отрадненский \ Попутная - Рудь ;  км: 15+000-18+800 \ Поверхностная обработка (II вариант)</v>
          </cell>
          <cell r="H177">
            <v>36982</v>
          </cell>
          <cell r="I177">
            <v>37165</v>
          </cell>
          <cell r="J177">
            <v>37072</v>
          </cell>
        </row>
        <row r="178">
          <cell r="A178">
            <v>176</v>
          </cell>
          <cell r="C178" t="str">
            <v>Отрадненский</v>
          </cell>
          <cell r="D178" t="str">
            <v>Передовая - х.Ильич ;  км: 6+600-10+600 (на участке 6+600-9+100)</v>
          </cell>
          <cell r="F178" t="str">
            <v>Перевод гравийных и щебеночных дорог в а/б с пов.обр</v>
          </cell>
          <cell r="G178" t="str">
            <v>Район: Отрадненский \ Передовая - х.Ильич ;  км: 6+600-10+600 (на участке 6+600-9+100) \ Перевод гравийных и щебеночных дорог в а/б с пов.обр</v>
          </cell>
          <cell r="H178">
            <v>36982</v>
          </cell>
          <cell r="I178">
            <v>37165</v>
          </cell>
          <cell r="J178">
            <v>37072</v>
          </cell>
        </row>
        <row r="179">
          <cell r="A179">
            <v>177</v>
          </cell>
          <cell r="C179" t="str">
            <v>Павловский</v>
          </cell>
          <cell r="D179" t="str">
            <v>Подъезд к х.Пушкин ;  км: 0+000-9+600</v>
          </cell>
          <cell r="F179" t="str">
            <v>Поверхностная обработка (II вариант)</v>
          </cell>
          <cell r="G179" t="str">
            <v>Район: Павловский \ Подъезд к х.Пушкин ;  км: 0+000-9+600 \ Поверхностная обработка (II вариант)</v>
          </cell>
          <cell r="H179">
            <v>36982</v>
          </cell>
          <cell r="I179">
            <v>37165</v>
          </cell>
          <cell r="J179">
            <v>37072</v>
          </cell>
        </row>
        <row r="180">
          <cell r="A180">
            <v>178</v>
          </cell>
          <cell r="C180" t="str">
            <v>Павловский</v>
          </cell>
          <cell r="D180" t="str">
            <v>Центр - Пляж ;  км: 0+000-4+290</v>
          </cell>
          <cell r="F180" t="str">
            <v>Облегченный ремонт - III вариант</v>
          </cell>
          <cell r="G180" t="str">
            <v>Район: Павловский \ Центр - Пляж ;  км: 0+000-4+290 \ Облегченный ремонт - III вариант</v>
          </cell>
          <cell r="H180">
            <v>36982</v>
          </cell>
          <cell r="I180">
            <v>37165</v>
          </cell>
          <cell r="J180">
            <v>37072</v>
          </cell>
        </row>
        <row r="181">
          <cell r="A181">
            <v>179</v>
          </cell>
          <cell r="C181" t="str">
            <v>Павловский</v>
          </cell>
          <cell r="D181" t="str">
            <v>Подъезд к ст.Атаманская ;  км: 0+000-3+000</v>
          </cell>
          <cell r="F181" t="str">
            <v>Облегченный ремонт - III вариант</v>
          </cell>
          <cell r="G181" t="str">
            <v>Район: Павловский \ Подъезд к ст.Атаманская ;  км: 0+000-3+000 \ Облегченный ремонт - III вариант</v>
          </cell>
          <cell r="H181">
            <v>36982</v>
          </cell>
          <cell r="I181">
            <v>37165</v>
          </cell>
          <cell r="J181">
            <v>37072</v>
          </cell>
        </row>
        <row r="182">
          <cell r="A182">
            <v>180</v>
          </cell>
          <cell r="C182" t="str">
            <v>Павловский</v>
          </cell>
          <cell r="D182" t="str">
            <v>Северный - Новолеушковская ;  км: 21+700-27+800</v>
          </cell>
          <cell r="F182" t="str">
            <v>Облегченный ремонт - III вариант</v>
          </cell>
          <cell r="G182" t="str">
            <v>Район: Павловский \ Северный - Новолеушковская ;  км: 21+700-27+800 \ Облегченный ремонт - III вариант</v>
          </cell>
          <cell r="H182">
            <v>36982</v>
          </cell>
          <cell r="I182">
            <v>37165</v>
          </cell>
          <cell r="J182">
            <v>37072</v>
          </cell>
        </row>
        <row r="183">
          <cell r="A183">
            <v>181</v>
          </cell>
          <cell r="C183" t="str">
            <v>Приморско-Ахтарский</v>
          </cell>
          <cell r="D183" t="str">
            <v>Ольгинская - Степная ;  км: 0+000-24+226</v>
          </cell>
          <cell r="F183" t="str">
            <v>Поверхностная обработка (II вариант)</v>
          </cell>
          <cell r="G183" t="str">
            <v>Район: Приморско-Ахтарский \ Ольгинская - Степная ;  км: 0+000-24+226 \ Поверхностная обработка (II вариант)</v>
          </cell>
          <cell r="H183">
            <v>36982</v>
          </cell>
          <cell r="I183">
            <v>37165</v>
          </cell>
          <cell r="J183">
            <v>37072</v>
          </cell>
        </row>
        <row r="184">
          <cell r="A184">
            <v>182</v>
          </cell>
          <cell r="C184" t="str">
            <v>Приморско-Ахтарский</v>
          </cell>
          <cell r="D184" t="str">
            <v>Тимашевск - Приморско-Ахтарск ;  км: 45+500-54+500</v>
          </cell>
          <cell r="F184" t="str">
            <v>Поверхностная обработка (II вариант)</v>
          </cell>
          <cell r="G184" t="str">
            <v>Район: Приморско-Ахтарский \ Тимашевск - Приморско-Ахтарск ;  км: 45+500-54+500 \ Поверхностная обработка (II вариант)</v>
          </cell>
          <cell r="H184">
            <v>36982</v>
          </cell>
          <cell r="I184">
            <v>37165</v>
          </cell>
          <cell r="J184">
            <v>37072</v>
          </cell>
        </row>
        <row r="185">
          <cell r="A185">
            <v>183</v>
          </cell>
          <cell r="C185" t="str">
            <v>Приморско-Ахтарский</v>
          </cell>
          <cell r="D185" t="str">
            <v>Подъезд к х.Новонекрасовский км 0+000-1+500</v>
          </cell>
          <cell r="F185" t="str">
            <v>Комплексные работы</v>
          </cell>
          <cell r="G185" t="str">
            <v>Район: Приморско-Ахтарский \ Подъезд к х.Новонекрасовский км 0+000-1+500 \ Комплексные работы</v>
          </cell>
          <cell r="H185">
            <v>36982</v>
          </cell>
          <cell r="I185">
            <v>37165</v>
          </cell>
          <cell r="J185">
            <v>37072</v>
          </cell>
        </row>
        <row r="186">
          <cell r="A186">
            <v>184</v>
          </cell>
          <cell r="C186" t="str">
            <v>Северский</v>
          </cell>
          <cell r="D186" t="str">
            <v>Стефановский - Новоивановская - Дербентская ;  км: 10+000-16+750 ; 17+350-19+800</v>
          </cell>
          <cell r="F186" t="str">
            <v>Поверхностная обработка (II вариант)</v>
          </cell>
          <cell r="G186" t="str">
            <v>Район: Северский \ Стефановский - Новоивановская - Дербентская ;  км: 10+000-16+750 ; 17+350-19+800 \ Поверхностная обработка (II вариант)</v>
          </cell>
          <cell r="H186">
            <v>36982</v>
          </cell>
          <cell r="I186">
            <v>37165</v>
          </cell>
          <cell r="J186">
            <v>37072</v>
          </cell>
        </row>
        <row r="187">
          <cell r="A187">
            <v>185</v>
          </cell>
          <cell r="C187" t="str">
            <v>Северский</v>
          </cell>
          <cell r="D187" t="str">
            <v>Афипский - Коваленко ;  км: 0+000-8+600</v>
          </cell>
          <cell r="F187" t="str">
            <v>Поверхностная обработка (II вариант)</v>
          </cell>
          <cell r="G187" t="str">
            <v>Район: Северский \ Афипский - Коваленко ;  км: 0+000-8+600 \ Поверхностная обработка (II вариант)</v>
          </cell>
          <cell r="H187">
            <v>36982</v>
          </cell>
          <cell r="I187">
            <v>37165</v>
          </cell>
          <cell r="J187">
            <v>37072</v>
          </cell>
        </row>
        <row r="188">
          <cell r="A188">
            <v>186</v>
          </cell>
          <cell r="C188" t="str">
            <v>Северский</v>
          </cell>
          <cell r="D188" t="str">
            <v>Афипский - Новодмитриевская - Горячий Ключ ;  км: 0+000-9+300</v>
          </cell>
          <cell r="F188" t="str">
            <v>Поверхностная обработка (II вариант)</v>
          </cell>
          <cell r="G188" t="str">
            <v>Район: Северский \ Афипский - Новодмитриевская - Горячий Ключ ;  км: 0+000-9+300 \ Поверхностная обработка (II вариант)</v>
          </cell>
          <cell r="H188">
            <v>36982</v>
          </cell>
          <cell r="I188">
            <v>37165</v>
          </cell>
          <cell r="J188">
            <v>37072</v>
          </cell>
        </row>
        <row r="189">
          <cell r="A189">
            <v>187</v>
          </cell>
          <cell r="C189" t="str">
            <v>Славянский</v>
          </cell>
          <cell r="D189" t="str">
            <v>Баранниковский - Семисводный - Анастасиевская ;  км: 0+000-8+750 ; 11+750-15+900</v>
          </cell>
          <cell r="F189" t="str">
            <v>Поверхностная обработка (II вариант)</v>
          </cell>
          <cell r="G189" t="str">
            <v>Район: Славянский \ Баранниковский - Семисводный - Анастасиевская ;  км: 0+000-8+750 ; 11+750-15+900 \ Поверхностная обработка (II вариант)</v>
          </cell>
          <cell r="H189">
            <v>36982</v>
          </cell>
          <cell r="I189">
            <v>37165</v>
          </cell>
          <cell r="J189">
            <v>37072</v>
          </cell>
        </row>
        <row r="190">
          <cell r="A190">
            <v>188</v>
          </cell>
          <cell r="C190" t="str">
            <v>Славянский</v>
          </cell>
          <cell r="D190" t="str">
            <v>Петровская - Черноерковская - Ачуево ;  км: 0+000-9+000</v>
          </cell>
          <cell r="F190" t="str">
            <v>Поверхностная обработка (II вариант)</v>
          </cell>
          <cell r="G190" t="str">
            <v>Район: Славянский \ Петровская - Черноерковская - Ачуево ;  км: 0+000-9+000 \ Поверхностная обработка (II вариант)</v>
          </cell>
          <cell r="H190">
            <v>36982</v>
          </cell>
          <cell r="I190">
            <v>37165</v>
          </cell>
          <cell r="J190">
            <v>37072</v>
          </cell>
        </row>
        <row r="191">
          <cell r="A191">
            <v>189</v>
          </cell>
          <cell r="C191" t="str">
            <v>Славянский</v>
          </cell>
          <cell r="D191" t="str">
            <v>Петровская - Забойский км 19</v>
          </cell>
          <cell r="F191" t="str">
            <v>Устройство автопавильонов</v>
          </cell>
          <cell r="G191" t="str">
            <v>Район: Славянский \ Петровская - Забойский км 19 \ Устройство автопавильонов</v>
          </cell>
          <cell r="H191">
            <v>36982</v>
          </cell>
          <cell r="I191">
            <v>37165</v>
          </cell>
          <cell r="J191">
            <v>37072</v>
          </cell>
        </row>
        <row r="192">
          <cell r="A192">
            <v>190</v>
          </cell>
          <cell r="C192" t="str">
            <v>Славянский</v>
          </cell>
          <cell r="D192" t="str">
            <v>Славянск-на-Кубани - Петровская - Целинный - Ачуево ;  км: 0+000-2+000</v>
          </cell>
          <cell r="F192" t="str">
            <v>Устройство автопавильонов</v>
          </cell>
          <cell r="G192" t="str">
            <v>Район: Славянский \ Славянск-на-Кубани - Петровская - Целинный - Ачуево ;  км: 0+000-2+000 \ Устройство автопавильонов</v>
          </cell>
          <cell r="H192">
            <v>36982</v>
          </cell>
          <cell r="I192">
            <v>37165</v>
          </cell>
          <cell r="J192">
            <v>37072</v>
          </cell>
        </row>
        <row r="193">
          <cell r="A193">
            <v>191</v>
          </cell>
          <cell r="C193" t="str">
            <v>Староминский</v>
          </cell>
          <cell r="D193" t="str">
            <v>Староминская - Ленинградская - Павловская ;  км: 0+000-21+ 540</v>
          </cell>
          <cell r="F193" t="str">
            <v>Поверхностная обработка (II вариант)</v>
          </cell>
          <cell r="G193" t="str">
            <v>Район: Староминский \ Староминская - Ленинградская - Павловская ;  км: 0+000-21+ 540 \ Поверхностная обработка (II вариант)</v>
          </cell>
          <cell r="H193">
            <v>36982</v>
          </cell>
          <cell r="I193">
            <v>37165</v>
          </cell>
          <cell r="J193">
            <v>37072</v>
          </cell>
        </row>
        <row r="194">
          <cell r="A194">
            <v>192</v>
          </cell>
          <cell r="C194" t="str">
            <v>Староминский</v>
          </cell>
          <cell r="D194" t="str">
            <v>Подъезд к а/д Азов-Александровская-Староминская км 0+000-2+900</v>
          </cell>
          <cell r="F194" t="str">
            <v>Устройство тротуаров и пешеходных дорожек</v>
          </cell>
          <cell r="G194" t="str">
            <v>Район: Староминский \ Подъезд к а/д Азов-Александровская-Староминская км 0+000-2+900 \ Устройство тротуаров и пешеходных дорожек</v>
          </cell>
          <cell r="H194">
            <v>36982</v>
          </cell>
          <cell r="I194">
            <v>37165</v>
          </cell>
          <cell r="J194">
            <v>37072</v>
          </cell>
        </row>
        <row r="195">
          <cell r="A195">
            <v>193</v>
          </cell>
          <cell r="C195" t="str">
            <v>Тбилисский</v>
          </cell>
          <cell r="D195" t="str">
            <v>Северин - Песчаный - Веревкин ;  км: 5+700-24+900</v>
          </cell>
          <cell r="F195" t="str">
            <v>Поверхностная обработка (II вариант)</v>
          </cell>
          <cell r="G195" t="str">
            <v>Район: Тбилисский \ Северин - Песчаный - Веревкин ;  км: 5+700-24+900 \ Поверхностная обработка (II вариант)</v>
          </cell>
          <cell r="H195">
            <v>36982</v>
          </cell>
          <cell r="I195">
            <v>37165</v>
          </cell>
          <cell r="J195">
            <v>37072</v>
          </cell>
        </row>
        <row r="196">
          <cell r="A196">
            <v>194</v>
          </cell>
          <cell r="C196" t="str">
            <v>Тбилисский</v>
          </cell>
          <cell r="D196" t="str">
            <v>Тбилисская - Воздвиженская ;  км: 13+000-20+000</v>
          </cell>
          <cell r="F196" t="str">
            <v>Поверхностная обработка (II вариант)</v>
          </cell>
          <cell r="G196" t="str">
            <v>Район: Тбилисский \ Тбилисская - Воздвиженская ;  км: 13+000-20+000 \ Поверхностная обработка (II вариант)</v>
          </cell>
          <cell r="H196">
            <v>36982</v>
          </cell>
          <cell r="I196">
            <v>37165</v>
          </cell>
          <cell r="J196">
            <v>37072</v>
          </cell>
        </row>
        <row r="197">
          <cell r="A197">
            <v>195</v>
          </cell>
          <cell r="C197" t="str">
            <v>Тбилисский</v>
          </cell>
          <cell r="D197" t="str">
            <v>Северокубанский - граница Гулькевичского р-на ;  км: 0+000-5+200</v>
          </cell>
          <cell r="F197" t="str">
            <v>Поверхностная обработка (II вариант)</v>
          </cell>
          <cell r="G197" t="str">
            <v>Район: Тбилисский \ Северокубанский - граница Гулькевичского р-на ;  км: 0+000-5+200 \ Поверхностная обработка (II вариант)</v>
          </cell>
          <cell r="H197">
            <v>36982</v>
          </cell>
          <cell r="I197">
            <v>37165</v>
          </cell>
          <cell r="J197">
            <v>37072</v>
          </cell>
        </row>
        <row r="198">
          <cell r="A198">
            <v>196</v>
          </cell>
          <cell r="C198" t="str">
            <v>Темрюкский</v>
          </cell>
          <cell r="D198" t="str">
            <v>Запорожская - Гаркуша ;  км: 0+000-4+000</v>
          </cell>
          <cell r="F198" t="str">
            <v>Поверхностная обработка (II вариант)</v>
          </cell>
          <cell r="G198" t="str">
            <v>Район: Темрюкский \ Запорожская - Гаркуша ;  км: 0+000-4+000 \ Поверхностная обработка (II вариант)</v>
          </cell>
          <cell r="H198">
            <v>36982</v>
          </cell>
          <cell r="I198">
            <v>37165</v>
          </cell>
          <cell r="J198">
            <v>37072</v>
          </cell>
        </row>
        <row r="199">
          <cell r="A199">
            <v>197</v>
          </cell>
          <cell r="C199" t="str">
            <v>Темрюкский</v>
          </cell>
          <cell r="D199" t="str">
            <v>Тамань - Веселовка ;  км: 0+000-6+000</v>
          </cell>
          <cell r="F199" t="str">
            <v>Поверхностная обработка (II вариант)</v>
          </cell>
          <cell r="G199" t="str">
            <v>Район: Темрюкский \ Тамань - Веселовка ;  км: 0+000-6+000 \ Поверхностная обработка (II вариант)</v>
          </cell>
          <cell r="H199">
            <v>36982</v>
          </cell>
          <cell r="I199">
            <v>37165</v>
          </cell>
          <cell r="J199">
            <v>37072</v>
          </cell>
        </row>
        <row r="200">
          <cell r="A200">
            <v>198</v>
          </cell>
          <cell r="C200" t="str">
            <v>Темрюкский</v>
          </cell>
          <cell r="D200" t="str">
            <v>Тамань - Веселовка ;  км: 10+000-19+100</v>
          </cell>
          <cell r="F200" t="str">
            <v>Поверхностная обработка (II вариант)</v>
          </cell>
          <cell r="G200" t="str">
            <v>Район: Темрюкский \ Тамань - Веселовка ;  км: 10+000-19+100 \ Поверхностная обработка (II вариант)</v>
          </cell>
          <cell r="H200">
            <v>36982</v>
          </cell>
          <cell r="I200">
            <v>37165</v>
          </cell>
          <cell r="J200">
            <v>37072</v>
          </cell>
        </row>
        <row r="201">
          <cell r="A201">
            <v>199</v>
          </cell>
          <cell r="C201" t="str">
            <v>Темрюкский</v>
          </cell>
          <cell r="D201" t="str">
            <v>Темрюк - Краснодар - Кропоткин ;  км: 10+000-11+300</v>
          </cell>
          <cell r="F201" t="str">
            <v>Облегченный ремонт - III вариант</v>
          </cell>
          <cell r="G201" t="str">
            <v>Район: Темрюкский \ Темрюк - Краснодар - Кропоткин ;  км: 10+000-11+300 \ Облегченный ремонт - III вариант</v>
          </cell>
          <cell r="H201">
            <v>36982</v>
          </cell>
          <cell r="I201">
            <v>37165</v>
          </cell>
          <cell r="J201">
            <v>37072</v>
          </cell>
        </row>
        <row r="202">
          <cell r="A202">
            <v>200</v>
          </cell>
          <cell r="C202" t="str">
            <v>Темрюкский</v>
          </cell>
          <cell r="D202" t="str">
            <v>Термюк-Краснодар-Кропоткин  1+350л 1+500л 1+500пр 0+800пр 0+950л 0+800л</v>
          </cell>
          <cell r="F202" t="str">
            <v>Ремонт покрытия на съездах</v>
          </cell>
          <cell r="G202" t="str">
            <v>Район: Темрюкский \ Термюк-Краснодар-Кропоткин  1+350л 1+500л 1+500пр 0+800пр 0+950л 0+800л \ Ремонт покрытия на съездах</v>
          </cell>
          <cell r="H202">
            <v>36982</v>
          </cell>
          <cell r="I202">
            <v>37165</v>
          </cell>
          <cell r="J202">
            <v>37072</v>
          </cell>
        </row>
        <row r="203">
          <cell r="A203">
            <v>201</v>
          </cell>
          <cell r="C203" t="str">
            <v>Темрюкский</v>
          </cell>
          <cell r="D203" t="str">
            <v>Темрюк-Краснодар-Кропоткин5+100пр 10+700пр 12+300л 12+300 пр  19+800пр 24+800пр 26+680пр</v>
          </cell>
          <cell r="F203" t="str">
            <v>Ремонт остановочных площадок</v>
          </cell>
          <cell r="G203" t="str">
            <v>Район: Темрюкский \ Темрюк-Краснодар-Кропоткин5+100пр 10+700пр 12+300л 12+300 пр  19+800пр 24+800пр 26+680пр \ Ремонт остановочных площадок</v>
          </cell>
          <cell r="H203">
            <v>36982</v>
          </cell>
          <cell r="I203">
            <v>37165</v>
          </cell>
          <cell r="J203">
            <v>37072</v>
          </cell>
        </row>
        <row r="204">
          <cell r="A204">
            <v>202</v>
          </cell>
          <cell r="C204" t="str">
            <v>Темрюкский</v>
          </cell>
          <cell r="D204" t="str">
            <v>Темрюк-Южный  склон  0+400 - 0+900</v>
          </cell>
          <cell r="F204" t="str">
            <v>Ремонт тротуаров и пешеходных дорожек</v>
          </cell>
          <cell r="G204" t="str">
            <v>Район: Темрюкский \ Темрюк-Южный  склон  0+400 - 0+900 \ Ремонт тротуаров и пешеходных дорожек</v>
          </cell>
          <cell r="H204">
            <v>36982</v>
          </cell>
          <cell r="I204">
            <v>37165</v>
          </cell>
          <cell r="J204">
            <v>37072</v>
          </cell>
        </row>
        <row r="205">
          <cell r="A205">
            <v>203</v>
          </cell>
          <cell r="C205" t="str">
            <v>Темрюкский</v>
          </cell>
          <cell r="D205" t="str">
            <v>Темрюк - Краснодар - Кропоткин ;  км: 1+270-1+800 ; 15+650-16+050</v>
          </cell>
          <cell r="F205" t="str">
            <v>Ремонт тротуаров и пешеходных дорожек</v>
          </cell>
          <cell r="G205" t="str">
            <v>Район: Темрюкский \ Темрюк - Краснодар - Кропоткин ;  км: 1+270-1+800 ; 15+650-16+050 \ Ремонт тротуаров и пешеходных дорожек</v>
          </cell>
          <cell r="H205">
            <v>36982</v>
          </cell>
          <cell r="I205">
            <v>37165</v>
          </cell>
          <cell r="J205">
            <v>37072</v>
          </cell>
        </row>
        <row r="206">
          <cell r="A206">
            <v>204</v>
          </cell>
          <cell r="C206" t="str">
            <v>Тимашевский</v>
          </cell>
          <cell r="D206" t="str">
            <v>Тимашевск - Славянск-на-Кубани - Крымск ;  км: 0+000-5+000</v>
          </cell>
          <cell r="F206" t="str">
            <v>Поверхностная обработка (II вариант)</v>
          </cell>
          <cell r="G206" t="str">
            <v>Район: Тимашевский \ Тимашевск - Славянск-на-Кубани - Крымск ;  км: 0+000-5+000 \ Поверхностная обработка (II вариант)</v>
          </cell>
          <cell r="H206">
            <v>36982</v>
          </cell>
          <cell r="I206">
            <v>37165</v>
          </cell>
          <cell r="J206">
            <v>37072</v>
          </cell>
        </row>
        <row r="207">
          <cell r="A207">
            <v>205</v>
          </cell>
          <cell r="C207" t="str">
            <v>Тимашевский</v>
          </cell>
          <cell r="D207" t="str">
            <v>Краснодар - Ейск ;  км: 67+800-73+400</v>
          </cell>
          <cell r="F207" t="str">
            <v>Поверхностная обработка (II вариант)</v>
          </cell>
          <cell r="G207" t="str">
            <v>Район: Тимашевский \ Краснодар - Ейск ;  км: 67+800-73+400 \ Поверхностная обработка (II вариант)</v>
          </cell>
          <cell r="H207">
            <v>36982</v>
          </cell>
          <cell r="I207">
            <v>37165</v>
          </cell>
          <cell r="J207">
            <v>37072</v>
          </cell>
        </row>
        <row r="208">
          <cell r="A208">
            <v>206</v>
          </cell>
          <cell r="C208" t="str">
            <v>Тимашевский</v>
          </cell>
          <cell r="D208" t="str">
            <v>Тимашевск - Приморско-Ахтарск ;  км: 3+600-5+500</v>
          </cell>
          <cell r="F208" t="str">
            <v>Поверхностная обработка (II вариант)</v>
          </cell>
          <cell r="G208" t="str">
            <v>Район: Тимашевский \ Тимашевск - Приморско-Ахтарск ;  км: 3+600-5+500 \ Поверхностная обработка (II вариант)</v>
          </cell>
          <cell r="H208">
            <v>36982</v>
          </cell>
          <cell r="I208">
            <v>37165</v>
          </cell>
          <cell r="J208">
            <v>37072</v>
          </cell>
        </row>
        <row r="209">
          <cell r="A209">
            <v>207</v>
          </cell>
          <cell r="C209" t="str">
            <v>Тимашевский</v>
          </cell>
          <cell r="D209" t="str">
            <v>Новокорсунская - Незаймановский ;  км: 12+000-17+980</v>
          </cell>
          <cell r="F209" t="str">
            <v>Облегченный ремонт - III вариант</v>
          </cell>
          <cell r="G209" t="str">
            <v>Район: Тимашевский \ Новокорсунская - Незаймановский ;  км: 12+000-17+980 \ Облегченный ремонт - III вариант</v>
          </cell>
          <cell r="H209">
            <v>36982</v>
          </cell>
          <cell r="I209">
            <v>37165</v>
          </cell>
          <cell r="J209">
            <v>37072</v>
          </cell>
        </row>
        <row r="210">
          <cell r="A210">
            <v>208</v>
          </cell>
          <cell r="C210" t="str">
            <v>Тихорецкий</v>
          </cell>
          <cell r="D210" t="str">
            <v>Сальск - Тихорецк ;  км: 82+771-85+611</v>
          </cell>
          <cell r="F210" t="str">
            <v>Поверхностная обработка (II вариант)</v>
          </cell>
          <cell r="G210" t="str">
            <v>Район: Тихорецкий \ Сальск - Тихорецк ;  км: 82+771-85+611 \ Поверхностная обработка (II вариант)</v>
          </cell>
          <cell r="H210">
            <v>36982</v>
          </cell>
          <cell r="I210">
            <v>37165</v>
          </cell>
          <cell r="J210">
            <v>37072</v>
          </cell>
        </row>
        <row r="211">
          <cell r="A211">
            <v>209</v>
          </cell>
          <cell r="C211" t="str">
            <v>Тихорецкий</v>
          </cell>
          <cell r="D211" t="str">
            <v>Журавская - Тихорецк ;  км: 49+232-53+783</v>
          </cell>
          <cell r="F211" t="str">
            <v>Поверхностная обработка (II вариант)</v>
          </cell>
          <cell r="G211" t="str">
            <v>Район: Тихорецкий \ Журавская - Тихорецк ;  км: 49+232-53+783 \ Поверхностная обработка (II вариант)</v>
          </cell>
          <cell r="H211">
            <v>36982</v>
          </cell>
          <cell r="I211">
            <v>37165</v>
          </cell>
          <cell r="J211">
            <v>37072</v>
          </cell>
        </row>
        <row r="212">
          <cell r="A212">
            <v>210</v>
          </cell>
          <cell r="C212" t="str">
            <v>Тихорецкий</v>
          </cell>
          <cell r="D212" t="str">
            <v>Подъезд к п.Северный ;  км: 13+200-17+000</v>
          </cell>
          <cell r="F212" t="str">
            <v>Поверхностная обработка (II вариант)</v>
          </cell>
          <cell r="G212" t="str">
            <v>Район: Тихорецкий \ Подъезд к п.Северный ;  км: 13+200-17+000 \ Поверхностная обработка (II вариант)</v>
          </cell>
          <cell r="H212">
            <v>36982</v>
          </cell>
          <cell r="I212">
            <v>37165</v>
          </cell>
          <cell r="J212">
            <v>37072</v>
          </cell>
        </row>
        <row r="213">
          <cell r="A213">
            <v>211</v>
          </cell>
          <cell r="C213" t="str">
            <v>Тихорецкий</v>
          </cell>
          <cell r="D213" t="str">
            <v>Подъезд к ст.Еримизино-Борисовская ;  км: 0+000-7+400</v>
          </cell>
          <cell r="F213" t="str">
            <v>Поверхностная обработка (II вариант)</v>
          </cell>
          <cell r="G213" t="str">
            <v>Район: Тихорецкий \ Подъезд к ст.Еримизино-Борисовская ;  км: 0+000-7+400 \ Поверхностная обработка (II вариант)</v>
          </cell>
          <cell r="H213">
            <v>36982</v>
          </cell>
          <cell r="I213">
            <v>37165</v>
          </cell>
          <cell r="J213">
            <v>37072</v>
          </cell>
        </row>
        <row r="214">
          <cell r="A214">
            <v>212</v>
          </cell>
          <cell r="C214" t="str">
            <v>Тихорецкий</v>
          </cell>
          <cell r="D214" t="str">
            <v>Тихорецк - Алексеевская - Новоархангельская ;  км: 0+000-2+000</v>
          </cell>
          <cell r="F214" t="str">
            <v>Облегченный ремонт - III вариант</v>
          </cell>
          <cell r="G214" t="str">
            <v>Район: Тихорецкий \ Тихорецк - Алексеевская - Новоархангельская ;  км: 0+000-2+000 \ Облегченный ремонт - III вариант</v>
          </cell>
          <cell r="H214">
            <v>36982</v>
          </cell>
          <cell r="I214">
            <v>37165</v>
          </cell>
          <cell r="J214">
            <v>37072</v>
          </cell>
        </row>
        <row r="215">
          <cell r="A215">
            <v>213</v>
          </cell>
          <cell r="C215" t="str">
            <v>Тихорецкий</v>
          </cell>
          <cell r="D215" t="str">
            <v>Тихорецк - Алексеевская - Новоархангельская ;  км: 7+000-13+800</v>
          </cell>
          <cell r="F215" t="str">
            <v>Облегченный ремонт - III вариант</v>
          </cell>
          <cell r="G215" t="str">
            <v>Район: Тихорецкий \ Тихорецк - Алексеевская - Новоархангельская ;  км: 7+000-13+800 \ Облегченный ремонт - III вариант</v>
          </cell>
          <cell r="H215">
            <v>36982</v>
          </cell>
          <cell r="I215">
            <v>37165</v>
          </cell>
          <cell r="J215">
            <v>37072</v>
          </cell>
        </row>
        <row r="216">
          <cell r="A216">
            <v>214</v>
          </cell>
          <cell r="C216" t="str">
            <v>Тихорецкий</v>
          </cell>
          <cell r="D216" t="str">
            <v>Тихорецк - Алексеевская - Новоархангельская ;  км: 3+516</v>
          </cell>
          <cell r="F216" t="str">
            <v>Замена водопропускных труб</v>
          </cell>
          <cell r="G216" t="str">
            <v>Район: Тихорецкий \ Тихорецк - Алексеевская - Новоархангельская ;  км: 3+516 \ Замена водопропускных труб</v>
          </cell>
          <cell r="H216">
            <v>36982</v>
          </cell>
          <cell r="I216">
            <v>37165</v>
          </cell>
          <cell r="J216">
            <v>37072</v>
          </cell>
        </row>
        <row r="217">
          <cell r="A217">
            <v>215</v>
          </cell>
          <cell r="C217" t="str">
            <v>Тихорецкий</v>
          </cell>
          <cell r="D217" t="str">
            <v>Журавская - Тихорецк ;  км: 67+500-70+300</v>
          </cell>
          <cell r="F217" t="str">
            <v>Устройство тротуаров и пешеходных дорожек</v>
          </cell>
          <cell r="G217" t="str">
            <v>Район: Тихорецкий \ Журавская - Тихорецк ;  км: 67+500-70+300 \ Устройство тротуаров и пешеходных дорожек</v>
          </cell>
          <cell r="H217">
            <v>36982</v>
          </cell>
          <cell r="I217">
            <v>37165</v>
          </cell>
          <cell r="J217">
            <v>37072</v>
          </cell>
        </row>
        <row r="218">
          <cell r="A218">
            <v>216</v>
          </cell>
          <cell r="C218" t="str">
            <v>Тихорецкий</v>
          </cell>
          <cell r="D218" t="str">
            <v>Архангельская - Отрадная ;  км: 1+400-2+100</v>
          </cell>
          <cell r="F218" t="str">
            <v>Устройство тротуаров и пешеходных дорожек</v>
          </cell>
          <cell r="G218" t="str">
            <v>Район: Тихорецкий \ Архангельская - Отрадная ;  км: 1+400-2+100 \ Устройство тротуаров и пешеходных дорожек</v>
          </cell>
          <cell r="H218">
            <v>36982</v>
          </cell>
          <cell r="I218">
            <v>37165</v>
          </cell>
          <cell r="J218">
            <v>37072</v>
          </cell>
        </row>
        <row r="219">
          <cell r="A219">
            <v>217</v>
          </cell>
          <cell r="C219" t="str">
            <v>Тихорецкий</v>
          </cell>
          <cell r="D219" t="str">
            <v>Подъезд к п.Северный ;  км: 11+200-11+700</v>
          </cell>
          <cell r="F219" t="str">
            <v>Устройство тротуаров и пешеходных дорожек</v>
          </cell>
          <cell r="G219" t="str">
            <v>Район: Тихорецкий \ Подъезд к п.Северный ;  км: 11+200-11+700 \ Устройство тротуаров и пешеходных дорожек</v>
          </cell>
          <cell r="H219">
            <v>36982</v>
          </cell>
          <cell r="I219">
            <v>37165</v>
          </cell>
          <cell r="J219">
            <v>37072</v>
          </cell>
        </row>
        <row r="220">
          <cell r="A220">
            <v>218</v>
          </cell>
          <cell r="C220" t="str">
            <v>Туапсинский</v>
          </cell>
          <cell r="D220" t="str">
            <v>Майкоп - Туапсе ;  км: 194+300-196+300</v>
          </cell>
          <cell r="F220" t="str">
            <v>Поверхностная обработка (II вариант)</v>
          </cell>
          <cell r="G220" t="str">
            <v>Район: Туапсинский \ Майкоп - Туапсе ;  км: 194+300-196+300 \ Поверхностная обработка (II вариант)</v>
          </cell>
          <cell r="H220">
            <v>36982</v>
          </cell>
          <cell r="I220">
            <v>37165</v>
          </cell>
          <cell r="J220">
            <v>37072</v>
          </cell>
        </row>
        <row r="221">
          <cell r="A221">
            <v>219</v>
          </cell>
          <cell r="C221" t="str">
            <v>Туапсинский</v>
          </cell>
          <cell r="D221" t="str">
            <v>Майкоп - Туапсе ;  км: 217+000-220+900</v>
          </cell>
          <cell r="F221" t="str">
            <v>Поверхностная обработка (II вариант)</v>
          </cell>
          <cell r="G221" t="str">
            <v>Район: Туапсинский \ Майкоп - Туапсе ;  км: 217+000-220+900 \ Поверхностная обработка (II вариант)</v>
          </cell>
          <cell r="H221">
            <v>36982</v>
          </cell>
          <cell r="I221">
            <v>37165</v>
          </cell>
          <cell r="J221">
            <v>37072</v>
          </cell>
        </row>
        <row r="222">
          <cell r="A222">
            <v>220</v>
          </cell>
          <cell r="C222" t="str">
            <v>Туапсинский</v>
          </cell>
          <cell r="D222" t="str">
            <v>Майкоп - Туапсе ;  км: 223+500-228+213</v>
          </cell>
          <cell r="F222" t="str">
            <v>Поверхностная обработка (II вариант)</v>
          </cell>
          <cell r="G222" t="str">
            <v>Район: Туапсинский \ Майкоп - Туапсе ;  км: 223+500-228+213 \ Поверхностная обработка (II вариант)</v>
          </cell>
          <cell r="H222">
            <v>36982</v>
          </cell>
          <cell r="I222">
            <v>37165</v>
          </cell>
          <cell r="J222">
            <v>37072</v>
          </cell>
        </row>
        <row r="223">
          <cell r="A223">
            <v>221</v>
          </cell>
          <cell r="C223" t="str">
            <v>Туапсинский</v>
          </cell>
          <cell r="D223" t="str">
            <v>Майкоп - Туапсе ;  км: 234+000-234+900</v>
          </cell>
          <cell r="F223" t="str">
            <v>Поверхностная обработка (II вариант)</v>
          </cell>
          <cell r="G223" t="str">
            <v>Район: Туапсинский \ Майкоп - Туапсе ;  км: 234+000-234+900 \ Поверхностная обработка (II вариант)</v>
          </cell>
          <cell r="H223">
            <v>36982</v>
          </cell>
          <cell r="I223">
            <v>37165</v>
          </cell>
          <cell r="J223">
            <v>37072</v>
          </cell>
        </row>
        <row r="224">
          <cell r="A224">
            <v>222</v>
          </cell>
          <cell r="C224" t="str">
            <v>Туапсинский</v>
          </cell>
          <cell r="D224" t="str">
            <v>Подъезд к б/о "Инал" ;  км: 0+000-5+700</v>
          </cell>
          <cell r="F224" t="str">
            <v>Поверхностная обработка (II вариант)</v>
          </cell>
          <cell r="G224" t="str">
            <v>Район: Туапсинский \ Подъезд к б/о "Инал" ;  км: 0+000-5+700 \ Поверхностная обработка (II вариант)</v>
          </cell>
          <cell r="H224">
            <v>36982</v>
          </cell>
          <cell r="I224">
            <v>37165</v>
          </cell>
          <cell r="J224">
            <v>37072</v>
          </cell>
        </row>
        <row r="225">
          <cell r="A225">
            <v>223</v>
          </cell>
          <cell r="C225" t="str">
            <v>Туапсинский</v>
          </cell>
          <cell r="D225" t="str">
            <v>Майкоп - Туапсе ;  км: 191+500-193+500</v>
          </cell>
          <cell r="F225" t="str">
            <v>Капитальный ремонт с усилением дорожной одежды</v>
          </cell>
          <cell r="G225" t="str">
            <v>Район: Туапсинский \ Майкоп - Туапсе ;  км: 191+500-193+500 \ Капитальный ремонт с усилением дорожной одежды</v>
          </cell>
          <cell r="H225">
            <v>36982</v>
          </cell>
          <cell r="I225">
            <v>37165</v>
          </cell>
          <cell r="J225">
            <v>37072</v>
          </cell>
        </row>
        <row r="226">
          <cell r="A226">
            <v>224</v>
          </cell>
          <cell r="C226" t="str">
            <v>Успенский</v>
          </cell>
          <cell r="D226" t="str">
            <v>Подъезд к а.Урупский ;  км: 0+000-2+100</v>
          </cell>
          <cell r="F226" t="str">
            <v>Облегченный ремонт - III вариант</v>
          </cell>
          <cell r="G226" t="str">
            <v>Район: Успенский \ Подъезд к а.Урупский ;  км: 0+000-2+100 \ Облегченный ремонт - III вариант</v>
          </cell>
          <cell r="H226">
            <v>36982</v>
          </cell>
          <cell r="I226">
            <v>37165</v>
          </cell>
          <cell r="J226">
            <v>37072</v>
          </cell>
        </row>
        <row r="227">
          <cell r="A227">
            <v>225</v>
          </cell>
          <cell r="C227" t="str">
            <v>Успенский</v>
          </cell>
          <cell r="D227" t="str">
            <v>Подъезд к с.Маламино ;  км: 0+000-5+500</v>
          </cell>
          <cell r="F227" t="str">
            <v>Облегченный ремонт - III вариант</v>
          </cell>
          <cell r="G227" t="str">
            <v>Район: Успенский \ Подъезд к с.Маламино ;  км: 0+000-5+500 \ Облегченный ремонт - III вариант</v>
          </cell>
          <cell r="H227">
            <v>36982</v>
          </cell>
          <cell r="I227">
            <v>37165</v>
          </cell>
          <cell r="J227">
            <v>37072</v>
          </cell>
        </row>
        <row r="228">
          <cell r="A228">
            <v>226</v>
          </cell>
          <cell r="C228" t="str">
            <v>Успенский</v>
          </cell>
          <cell r="D228" t="str">
            <v>Подъезд к а/д "Армавир - Успенское - Невинномысск" ;  км: 0+000-4+540</v>
          </cell>
          <cell r="F228" t="str">
            <v>Облегченный ремонт - III вариант</v>
          </cell>
          <cell r="G228" t="str">
            <v>Район: Успенский \ Подъезд к а/д "Армавир - Успенское - Невинномысск" ;  км: 0+000-4+540 \ Облегченный ремонт - III вариант</v>
          </cell>
          <cell r="H228">
            <v>36982</v>
          </cell>
          <cell r="I228">
            <v>37165</v>
          </cell>
          <cell r="J228">
            <v>37072</v>
          </cell>
        </row>
        <row r="229">
          <cell r="A229">
            <v>227</v>
          </cell>
          <cell r="C229" t="str">
            <v>Успенский</v>
          </cell>
          <cell r="D229" t="str">
            <v>Армавир - Успенское - Невинномысск ;  км: 5+650-17+650</v>
          </cell>
          <cell r="F229" t="str">
            <v>Уширение земполотна и проезжей части (комплекс)</v>
          </cell>
          <cell r="G229" t="str">
            <v>Район: Успенский \ Армавир - Успенское - Невинномысск ;  км: 5+650-17+650 \ Уширение земполотна и проезжей части (комплекс)</v>
          </cell>
          <cell r="H229">
            <v>36982</v>
          </cell>
          <cell r="I229">
            <v>37165</v>
          </cell>
          <cell r="J229">
            <v>37072</v>
          </cell>
        </row>
        <row r="230">
          <cell r="A230">
            <v>228</v>
          </cell>
          <cell r="C230" t="str">
            <v>Успенский</v>
          </cell>
          <cell r="D230" t="str">
            <v>Подъезд к х.Зуево км 0+000-5+000</v>
          </cell>
          <cell r="F230" t="str">
            <v>Комплексный ремонт</v>
          </cell>
          <cell r="G230" t="str">
            <v>Район: Успенский \ Подъезд к х.Зуево км 0+000-5+000 \ Комплексный ремонт</v>
          </cell>
          <cell r="H230">
            <v>36982</v>
          </cell>
          <cell r="I230">
            <v>37165</v>
          </cell>
          <cell r="J230">
            <v>37072</v>
          </cell>
        </row>
        <row r="231">
          <cell r="A231">
            <v>229</v>
          </cell>
          <cell r="C231" t="str">
            <v>Успенский</v>
          </cell>
          <cell r="D231" t="str">
            <v>Коноково-Урупский-Трехсельский-Пантелеймоновское;км:28+600-33+000</v>
          </cell>
          <cell r="F231" t="str">
            <v>Уширение земполотна и проезжей части (комплекс)</v>
          </cell>
          <cell r="G231" t="str">
            <v>Район: Успенский \ Коноково-Урупский-Трехсельский-Пантелеймоновское;км:28+600-33+000 \ Уширение земполотна и проезжей части (комплекс)</v>
          </cell>
          <cell r="H231">
            <v>36982</v>
          </cell>
          <cell r="I231">
            <v>37165</v>
          </cell>
          <cell r="J231">
            <v>37072</v>
          </cell>
        </row>
        <row r="232">
          <cell r="A232">
            <v>230</v>
          </cell>
          <cell r="C232" t="str">
            <v>Усть-Лабинский</v>
          </cell>
          <cell r="D232" t="str">
            <v>Усть-Лабинск - Лабинск - Упорная ;  км: 12+400-20+600</v>
          </cell>
          <cell r="F232" t="str">
            <v>Поверхностная обработка (II вариант)</v>
          </cell>
          <cell r="G232" t="str">
            <v>Район: Усть-Лабинский \ Усть-Лабинск - Лабинск - Упорная ;  км: 12+400-20+600 \ Поверхностная обработка (II вариант)</v>
          </cell>
          <cell r="H232">
            <v>36982</v>
          </cell>
          <cell r="I232">
            <v>37165</v>
          </cell>
          <cell r="J232">
            <v>37072</v>
          </cell>
        </row>
        <row r="233">
          <cell r="A233">
            <v>231</v>
          </cell>
          <cell r="C233" t="str">
            <v>Щербиновский</v>
          </cell>
          <cell r="D233" t="str">
            <v>Подъезд к битумной базе ;  км: 0+000-0+900</v>
          </cell>
          <cell r="F233" t="str">
            <v>Поверхностная обработка (II вариант)</v>
          </cell>
          <cell r="G233" t="str">
            <v>Район: Щербиновский \ Подъезд к битумной базе ;  км: 0+000-0+900 \ Поверхностная обработка (II вариант)</v>
          </cell>
          <cell r="H233">
            <v>36982</v>
          </cell>
          <cell r="I233">
            <v>37165</v>
          </cell>
          <cell r="J233">
            <v>37072</v>
          </cell>
        </row>
        <row r="234">
          <cell r="A234">
            <v>232</v>
          </cell>
          <cell r="C234" t="str">
            <v>Щербиновский</v>
          </cell>
          <cell r="D234" t="str">
            <v>Подъезд к с.Глафировка ;  км: 0+000-1+500</v>
          </cell>
          <cell r="F234" t="str">
            <v>Поверхностная обработка (II вариант)</v>
          </cell>
          <cell r="G234" t="str">
            <v>Район: Щербиновский \ Подъезд к с.Глафировка ;  км: 0+000-1+500 \ Поверхностная обработка (II вариант)</v>
          </cell>
          <cell r="H234">
            <v>36982</v>
          </cell>
          <cell r="I234">
            <v>37165</v>
          </cell>
          <cell r="J234">
            <v>37072</v>
          </cell>
        </row>
        <row r="235">
          <cell r="A235">
            <v>233</v>
          </cell>
          <cell r="C235" t="str">
            <v xml:space="preserve"> Усть-Лабинский  р-н</v>
          </cell>
          <cell r="D235" t="str">
            <v>А/д Усть-Лабинск-Лабинск-Упорная на участке Усть-Лабинск-Некрасовская</v>
          </cell>
          <cell r="F235" t="str">
            <v>Реконструкция  автодороги</v>
          </cell>
          <cell r="G235" t="str">
            <v>Район:  Усть-Лабинский  р-н \ А/д Усть-Лабинск-Лабинск-Упорная на участке Усть-Лабинск-Некрасовская \ Реконструкция  автодороги</v>
          </cell>
          <cell r="H235">
            <v>36982</v>
          </cell>
          <cell r="I235">
            <v>37165</v>
          </cell>
          <cell r="J235">
            <v>37072</v>
          </cell>
        </row>
        <row r="236">
          <cell r="A236">
            <v>234</v>
          </cell>
          <cell r="C236" t="str">
            <v>Абинский</v>
          </cell>
          <cell r="D236" t="str">
            <v>Федоровская - Холмский - Новый ;  км: 5+302</v>
          </cell>
          <cell r="F236" t="str">
            <v>Восстановление, усиление, выправление, замена отдельных элементов пролетных строений</v>
          </cell>
          <cell r="G236" t="str">
            <v>Район: Абинский \ Федоровская - Холмский - Новый ;  км: 5+302 \ Восстановление, усиление, выправление, замена отдельных элементов пролетных строений</v>
          </cell>
          <cell r="H236">
            <v>36982</v>
          </cell>
          <cell r="I236">
            <v>37165</v>
          </cell>
          <cell r="J236">
            <v>37072</v>
          </cell>
        </row>
        <row r="237">
          <cell r="A237">
            <v>235</v>
          </cell>
          <cell r="C237" t="str">
            <v>Апшеронский</v>
          </cell>
          <cell r="D237" t="str">
            <v>Майкоп - Туапсе ;  км: 185+070</v>
          </cell>
          <cell r="F237" t="str">
            <v>Приведение габарита и грузоподъемности сооружений в соответствие с нормами для данной категории дороги</v>
          </cell>
          <cell r="G237" t="str">
            <v>Район: Апшеронский \ Майкоп - Туапсе ;  км: 185+070 \ Приведение габарита и грузоподъемности сооружений в соответствие с нормами для данной категории дороги</v>
          </cell>
          <cell r="H237">
            <v>36982</v>
          </cell>
          <cell r="I237">
            <v>37165</v>
          </cell>
          <cell r="J237">
            <v>37072</v>
          </cell>
        </row>
        <row r="238">
          <cell r="A238">
            <v>236</v>
          </cell>
          <cell r="C238" t="str">
            <v>Белореченский</v>
          </cell>
          <cell r="D238" t="str">
            <v>Мирный - Бжедуховская - Беляевский ;  км: 19+725</v>
          </cell>
          <cell r="F238" t="str">
            <v>Приведение габарита и грузоподъемности сооружений в соответствие с нормами для данной категории дороги</v>
          </cell>
          <cell r="G238" t="str">
            <v>Район: Белореченский \ Мирный - Бжедуховская - Беляевский ;  км: 19+725 \ Приведение габарита и грузоподъемности сооружений в соответствие с нормами для данной категории дороги</v>
          </cell>
          <cell r="H238">
            <v>36982</v>
          </cell>
          <cell r="I238">
            <v>37165</v>
          </cell>
          <cell r="J238">
            <v>37072</v>
          </cell>
        </row>
        <row r="239">
          <cell r="A239">
            <v>237</v>
          </cell>
          <cell r="C239" t="str">
            <v xml:space="preserve">Красноармейс.р-н </v>
          </cell>
          <cell r="D239" t="str">
            <v>Новомышастовская-Федоровский гидроузел км 0+000-11+200</v>
          </cell>
          <cell r="F239" t="str">
            <v>Приведение габарита и грузоподъемности сооружений в соответствие с нормами для данной категории дороги</v>
          </cell>
          <cell r="G239" t="str">
            <v>Район: Красноармейс.р-н  \ Новомышастовская-Федоровский гидроузел км 0+000-11+200 \ Приведение габарита и грузоподъемности сооружений в соответствие с нормами для данной категории дороги</v>
          </cell>
          <cell r="H239">
            <v>36982</v>
          </cell>
          <cell r="I239">
            <v>37165</v>
          </cell>
          <cell r="J239">
            <v>37072</v>
          </cell>
        </row>
        <row r="240">
          <cell r="A240">
            <v>238</v>
          </cell>
          <cell r="C240" t="str">
            <v>Курганинский</v>
          </cell>
          <cell r="D240" t="str">
            <v>Усть-Лабинск-Лабинск-Упорная км 74+270</v>
          </cell>
          <cell r="F240" t="str">
            <v>Приведение габарита и грузоподъемности сооружений в соответствие с нормами для данной категории дороги</v>
          </cell>
          <cell r="G240" t="str">
            <v>Район: Курганинский \ Усть-Лабинск-Лабинск-Упорная км 74+270 \ Приведение габарита и грузоподъемности сооружений в соответствие с нормами для данной категории дороги</v>
          </cell>
          <cell r="H240">
            <v>36982</v>
          </cell>
          <cell r="I240">
            <v>37165</v>
          </cell>
          <cell r="J240">
            <v>37072</v>
          </cell>
        </row>
        <row r="241">
          <cell r="A241">
            <v>239</v>
          </cell>
          <cell r="C241" t="str">
            <v>Курганинский</v>
          </cell>
          <cell r="D241" t="str">
            <v>Усть-Лабинск-Лабинск-Упорная км 70+000</v>
          </cell>
          <cell r="F241" t="str">
            <v>Приведение габарита и грузоподъемности сооружений в соответствие с нормами для данной категории дороги</v>
          </cell>
          <cell r="G241" t="str">
            <v>Район: Курганинский \ Усть-Лабинск-Лабинск-Упорная км 70+000 \ Приведение габарита и грузоподъемности сооружений в соответствие с нормами для данной категории дороги</v>
          </cell>
          <cell r="H241">
            <v>36982</v>
          </cell>
          <cell r="I241">
            <v>37165</v>
          </cell>
          <cell r="J241">
            <v>37072</v>
          </cell>
        </row>
        <row r="242">
          <cell r="A242">
            <v>240</v>
          </cell>
          <cell r="C242" t="str">
            <v>Курганинский</v>
          </cell>
          <cell r="D242" t="str">
            <v>Усть-Лабинск-Лабинск-Упорная км 59+350</v>
          </cell>
          <cell r="F242" t="str">
            <v>Приведение габарита и грузоподъемности сооружений в соответствие с нормами для данной категории дороги</v>
          </cell>
          <cell r="G242" t="str">
            <v>Район: Курганинский \ Усть-Лабинск-Лабинск-Упорная км 59+350 \ Приведение габарита и грузоподъемности сооружений в соответствие с нормами для данной категории дороги</v>
          </cell>
          <cell r="H242">
            <v>36982</v>
          </cell>
          <cell r="I242">
            <v>37165</v>
          </cell>
          <cell r="J242">
            <v>37072</v>
          </cell>
        </row>
        <row r="243">
          <cell r="A243">
            <v>241</v>
          </cell>
          <cell r="C243" t="str">
            <v>Кавказский</v>
          </cell>
          <cell r="D243" t="str">
            <v>Темрюк - Краснодар - Кропоткин ;  км: 288+680-288+753</v>
          </cell>
          <cell r="F243" t="str">
            <v>Восстановление, усиление, выправление, замена отдельных элементов пролетных строений</v>
          </cell>
          <cell r="G243" t="str">
            <v>Район: Кавказский \ Темрюк - Краснодар - Кропоткин ;  км: 288+680-288+753 \ Восстановление, усиление, выправление, замена отдельных элементов пролетных строений</v>
          </cell>
          <cell r="H243">
            <v>36982</v>
          </cell>
          <cell r="I243">
            <v>37165</v>
          </cell>
          <cell r="J243">
            <v>37072</v>
          </cell>
        </row>
        <row r="244">
          <cell r="A244">
            <v>242</v>
          </cell>
          <cell r="C244" t="str">
            <v>Новопокровский</v>
          </cell>
          <cell r="D244" t="str">
            <v xml:space="preserve"> Новопокровский-Плоская  км 7+900</v>
          </cell>
          <cell r="F244" t="str">
            <v>Приведение габарита и грузоподъемности сооружений в соответствие с нормами для данной категории дороги</v>
          </cell>
          <cell r="G244" t="str">
            <v>Район: Новопокровский \  Новопокровский-Плоская  км 7+900 \ Приведение габарита и грузоподъемности сооружений в соответствие с нормами для данной категории дороги</v>
          </cell>
          <cell r="H244">
            <v>36982</v>
          </cell>
          <cell r="I244">
            <v>37165</v>
          </cell>
          <cell r="J244">
            <v>37072</v>
          </cell>
        </row>
        <row r="245">
          <cell r="A245">
            <v>243</v>
          </cell>
          <cell r="C245" t="str">
            <v>Новопокровский</v>
          </cell>
          <cell r="D245" t="str">
            <v>Сальск-Тихорецк км 37+315</v>
          </cell>
          <cell r="F245" t="str">
            <v>Приведение габарита и грузоподъемности сооружений в соответствие с нормами для данной категории дороги</v>
          </cell>
          <cell r="G245" t="str">
            <v>Район: Новопокровский \ Сальск-Тихорецк км 37+315 \ Приведение габарита и грузоподъемности сооружений в соответствие с нормами для данной категории дороги</v>
          </cell>
          <cell r="H245">
            <v>36982</v>
          </cell>
          <cell r="I245">
            <v>37165</v>
          </cell>
          <cell r="J245">
            <v>37072</v>
          </cell>
        </row>
        <row r="246">
          <cell r="A246">
            <v>244</v>
          </cell>
          <cell r="C246" t="str">
            <v>Ленинградский</v>
          </cell>
          <cell r="D246" t="str">
            <v>Стародеревянковская - Ленинградская - Кисляковская ;  км: 40+300-40+320</v>
          </cell>
          <cell r="F246" t="str">
            <v>Приведение габарита и грузоподъемности сооружений в соответствие с нормами для данной категории дороги</v>
          </cell>
          <cell r="G246" t="str">
            <v>Район: Ленинградский \ Стародеревянковская - Ленинградская - Кисляковская ;  км: 40+300-40+320 \ Приведение габарита и грузоподъемности сооружений в соответствие с нормами для данной категории дороги</v>
          </cell>
          <cell r="H246">
            <v>36982</v>
          </cell>
          <cell r="I246">
            <v>37165</v>
          </cell>
          <cell r="J246">
            <v>37072</v>
          </cell>
        </row>
        <row r="247">
          <cell r="A247">
            <v>245</v>
          </cell>
          <cell r="C247" t="str">
            <v>Мостовский</v>
          </cell>
          <cell r="D247" t="str">
            <v>Мост через р.Псефирь на а/д Подъезд к ст.Костромская ; км: 11+550</v>
          </cell>
          <cell r="F247" t="str">
            <v>Приведение габарита и грузоподъемности сооружений в соответствие с нормами для данной категории дороги</v>
          </cell>
          <cell r="G247" t="str">
            <v>Район: Мостовский \ Мост через р.Псефирь на а/д Подъезд к ст.Костромская ; км: 11+550 \ Приведение габарита и грузоподъемности сооружений в соответствие с нормами для данной категории дороги</v>
          </cell>
          <cell r="H247">
            <v>36982</v>
          </cell>
          <cell r="I247">
            <v>37165</v>
          </cell>
          <cell r="J247">
            <v>37072</v>
          </cell>
        </row>
        <row r="248">
          <cell r="A248">
            <v>246</v>
          </cell>
          <cell r="C248" t="str">
            <v>Отрадненский</v>
          </cell>
          <cell r="D248" t="str">
            <v>Отрадная-Трактовый км 2+946</v>
          </cell>
          <cell r="F248" t="str">
            <v>Приведение габарита и грузоподъемности сооружений в соответствие с нормами для данной категории дороги</v>
          </cell>
          <cell r="G248" t="str">
            <v>Район: Отрадненский \ Отрадная-Трактовый км 2+946 \ Приведение габарита и грузоподъемности сооружений в соответствие с нормами для данной категории дороги</v>
          </cell>
          <cell r="H248">
            <v>36982</v>
          </cell>
          <cell r="I248">
            <v>37165</v>
          </cell>
          <cell r="J248">
            <v>37072</v>
          </cell>
        </row>
        <row r="249">
          <cell r="A249">
            <v>247</v>
          </cell>
          <cell r="C249" t="str">
            <v>Павловский</v>
          </cell>
          <cell r="D249" t="str">
            <v>Старолеушковская - Средний Челбас ;  км: 2+500</v>
          </cell>
          <cell r="F249" t="str">
            <v>Приведение габарита и грузоподъемности сооружений в соответствие с нормами для данной категории дороги</v>
          </cell>
          <cell r="G249" t="str">
            <v>Район: Павловский \ Старолеушковская - Средний Челбас ;  км: 2+500 \ Приведение габарита и грузоподъемности сооружений в соответствие с нормами для данной категории дороги</v>
          </cell>
          <cell r="H249">
            <v>36982</v>
          </cell>
          <cell r="I249">
            <v>37165</v>
          </cell>
          <cell r="J249">
            <v>37072</v>
          </cell>
        </row>
        <row r="250">
          <cell r="A250">
            <v>248</v>
          </cell>
          <cell r="C250" t="str">
            <v>г.Сочи</v>
          </cell>
          <cell r="D250" t="str">
            <v>Мацеста -Семеновка км 9+600</v>
          </cell>
          <cell r="F250" t="str">
            <v>Приведение габарита и грузоподъемности сооружений в соответствие с нормами для данной категории дороги</v>
          </cell>
          <cell r="G250" t="str">
            <v>Район: г.Сочи \ Мацеста -Семеновка км 9+600 \ Приведение габарита и грузоподъемности сооружений в соответствие с нормами для данной категории дороги</v>
          </cell>
          <cell r="H250">
            <v>36982</v>
          </cell>
          <cell r="I250">
            <v>37165</v>
          </cell>
          <cell r="J250">
            <v>37072</v>
          </cell>
        </row>
        <row r="251">
          <cell r="A251">
            <v>249</v>
          </cell>
          <cell r="C251" t="str">
            <v>Северский</v>
          </cell>
          <cell r="D251" t="str">
            <v>Свердловский-Северская-Убинская км 34+880</v>
          </cell>
          <cell r="F251" t="str">
            <v>Приведение габарита и грузоподъемности сооружений в соответствие с нормами для данной категории дороги</v>
          </cell>
          <cell r="G251" t="str">
            <v>Район: Северский \ Свердловский-Северская-Убинская км 34+880 \ Приведение габарита и грузоподъемности сооружений в соответствие с нормами для данной категории дороги</v>
          </cell>
          <cell r="H251">
            <v>36982</v>
          </cell>
          <cell r="I251">
            <v>37165</v>
          </cell>
          <cell r="J251">
            <v>37072</v>
          </cell>
        </row>
        <row r="252">
          <cell r="A252">
            <v>250</v>
          </cell>
          <cell r="C252" t="str">
            <v>Туапсинский</v>
          </cell>
          <cell r="D252" t="str">
            <v>Георгиевское Б.Псеушко;мост ч/р Суббота км 1+650</v>
          </cell>
          <cell r="F252" t="str">
            <v>Приведение габарита и грузоподъемности сооружений в соответствие с нормами для данной категории дороги</v>
          </cell>
          <cell r="G252" t="str">
            <v>Район: Туапсинский \ Георгиевское Б.Псеушко;мост ч/р Суббота км 1+650 \ Приведение габарита и грузоподъемности сооружений в соответствие с нормами для данной категории дороги</v>
          </cell>
          <cell r="H252">
            <v>36982</v>
          </cell>
          <cell r="I252">
            <v>37165</v>
          </cell>
          <cell r="J252">
            <v>37072</v>
          </cell>
        </row>
        <row r="253">
          <cell r="A253">
            <v>251</v>
          </cell>
          <cell r="C253" t="str">
            <v>Щербиновский</v>
          </cell>
          <cell r="D253" t="str">
            <v>Краснодар - Ейск ;  км: 203+150-203+240 ( путепровод)</v>
          </cell>
          <cell r="F253" t="str">
            <v>Восстановление, частичная или полная замена гидроизоляции</v>
          </cell>
          <cell r="G253" t="str">
            <v>Район: Щербиновский \ Краснодар - Ейск ;  км: 203+150-203+240 ( путепровод) \ Восстановление, частичная или полная замена гидроизоляции</v>
          </cell>
          <cell r="H253">
            <v>36982</v>
          </cell>
          <cell r="I253">
            <v>37165</v>
          </cell>
          <cell r="J253">
            <v>37072</v>
          </cell>
        </row>
        <row r="254">
          <cell r="G254" t="str">
            <v xml:space="preserve">Район:  \  \ </v>
          </cell>
          <cell r="H254">
            <v>36982</v>
          </cell>
          <cell r="I254">
            <v>37165</v>
          </cell>
          <cell r="J254">
            <v>37072</v>
          </cell>
        </row>
      </sheetData>
      <sheetData sheetId="1">
        <row r="4">
          <cell r="A4">
            <v>1</v>
          </cell>
        </row>
      </sheetData>
      <sheetData sheetId="2" refreshError="1">
        <row r="4">
          <cell r="A4">
            <v>1</v>
          </cell>
          <cell r="B4">
            <v>2</v>
          </cell>
          <cell r="C4">
            <v>3</v>
          </cell>
          <cell r="D4">
            <v>4</v>
          </cell>
          <cell r="E4">
            <v>5</v>
          </cell>
          <cell r="F4">
            <v>6</v>
          </cell>
          <cell r="G4">
            <v>7</v>
          </cell>
          <cell r="H4">
            <v>8</v>
          </cell>
          <cell r="I4">
            <v>9</v>
          </cell>
          <cell r="J4">
            <v>10</v>
          </cell>
          <cell r="K4">
            <v>11</v>
          </cell>
          <cell r="L4">
            <v>12</v>
          </cell>
          <cell r="M4">
            <v>13</v>
          </cell>
        </row>
        <row r="5">
          <cell r="B5" t="str">
            <v>Район: Калининский \ Подъезд к с.Гришковское ;  км: 0+000-5+800 \ Поверхностная обработка (II вариант)</v>
          </cell>
          <cell r="K5">
            <v>96</v>
          </cell>
          <cell r="M5" t="str">
            <v>Калининский</v>
          </cell>
        </row>
        <row r="6">
          <cell r="A6" t="str">
            <v>96-1.1.</v>
          </cell>
          <cell r="B6" t="str">
            <v>Фонд заработной платы</v>
          </cell>
          <cell r="D6">
            <v>3010</v>
          </cell>
          <cell r="F6">
            <v>1832</v>
          </cell>
          <cell r="H6">
            <v>39143.760000000009</v>
          </cell>
          <cell r="I6">
            <v>21.366681222707427</v>
          </cell>
          <cell r="J6">
            <v>37311.760000000009</v>
          </cell>
          <cell r="K6">
            <v>96</v>
          </cell>
          <cell r="L6" t="str">
            <v>1.1.</v>
          </cell>
          <cell r="M6" t="str">
            <v>Калининский</v>
          </cell>
        </row>
        <row r="7">
          <cell r="A7" t="str">
            <v>96-1.1.1.</v>
          </cell>
          <cell r="B7" t="str">
            <v>Основные рабочие</v>
          </cell>
          <cell r="C7" t="str">
            <v>ч/ч</v>
          </cell>
          <cell r="D7">
            <v>1917</v>
          </cell>
          <cell r="E7">
            <v>0.55607720396452787</v>
          </cell>
          <cell r="F7">
            <v>1066</v>
          </cell>
          <cell r="G7">
            <v>12.38</v>
          </cell>
          <cell r="H7">
            <v>23732.460000000003</v>
          </cell>
          <cell r="I7">
            <v>22.263095684803005</v>
          </cell>
          <cell r="J7">
            <v>22666.460000000003</v>
          </cell>
          <cell r="K7">
            <v>96</v>
          </cell>
          <cell r="L7" t="str">
            <v>1.1.1.</v>
          </cell>
          <cell r="M7" t="str">
            <v>Калининский</v>
          </cell>
        </row>
        <row r="8">
          <cell r="A8" t="str">
            <v>96-1.1.2.</v>
          </cell>
          <cell r="B8" t="str">
            <v>Машинисты</v>
          </cell>
          <cell r="C8" t="str">
            <v>ч/ч</v>
          </cell>
          <cell r="D8">
            <v>1093</v>
          </cell>
          <cell r="E8">
            <v>0.70099999999999996</v>
          </cell>
          <cell r="F8">
            <v>766</v>
          </cell>
          <cell r="G8">
            <v>14.100000000000003</v>
          </cell>
          <cell r="H8">
            <v>15411.300000000003</v>
          </cell>
          <cell r="I8">
            <v>20.119190600522199</v>
          </cell>
          <cell r="J8">
            <v>14645.300000000003</v>
          </cell>
          <cell r="K8">
            <v>96</v>
          </cell>
          <cell r="L8" t="str">
            <v>1.1.2.</v>
          </cell>
          <cell r="M8" t="str">
            <v>Калининский</v>
          </cell>
        </row>
        <row r="9">
          <cell r="M9" t="str">
            <v>Калининский</v>
          </cell>
        </row>
        <row r="10">
          <cell r="A10" t="str">
            <v>96-1.2.</v>
          </cell>
          <cell r="B10" t="str">
            <v>Технические ресурсы по нормам СНиП (без зарботной платы машиниста)</v>
          </cell>
          <cell r="F10">
            <v>1853</v>
          </cell>
          <cell r="H10">
            <v>91468.513580000013</v>
          </cell>
          <cell r="I10">
            <v>49.362392649757155</v>
          </cell>
          <cell r="J10">
            <v>89615.382580000005</v>
          </cell>
          <cell r="K10">
            <v>96</v>
          </cell>
          <cell r="L10" t="str">
            <v>1.2.</v>
          </cell>
          <cell r="M10" t="str">
            <v>Калининский</v>
          </cell>
        </row>
        <row r="11">
          <cell r="A11">
            <v>1</v>
          </cell>
          <cell r="B11" t="str">
            <v>Автогрейдер средний</v>
          </cell>
          <cell r="C11" t="str">
            <v>м/ч</v>
          </cell>
          <cell r="D11">
            <v>39.31</v>
          </cell>
          <cell r="E11">
            <v>2.48</v>
          </cell>
          <cell r="F11">
            <v>97.488800000000012</v>
          </cell>
          <cell r="G11">
            <v>125.03</v>
          </cell>
          <cell r="H11">
            <v>4914.9293000000007</v>
          </cell>
          <cell r="I11">
            <v>50.41532258064516</v>
          </cell>
          <cell r="J11">
            <v>4817.4405000000006</v>
          </cell>
          <cell r="M11" t="str">
            <v>Калининский</v>
          </cell>
        </row>
        <row r="12">
          <cell r="A12">
            <v>2</v>
          </cell>
          <cell r="B12" t="str">
            <v>Щебнераспределитель</v>
          </cell>
          <cell r="C12" t="str">
            <v>м/ч</v>
          </cell>
          <cell r="D12">
            <v>36.119999999999997</v>
          </cell>
          <cell r="E12">
            <v>4.21</v>
          </cell>
          <cell r="F12">
            <v>152.06519999999998</v>
          </cell>
          <cell r="G12">
            <v>86.93</v>
          </cell>
          <cell r="H12">
            <v>3139.9115999999999</v>
          </cell>
          <cell r="I12">
            <v>20.648456057007127</v>
          </cell>
          <cell r="J12">
            <v>2987.8463999999999</v>
          </cell>
          <cell r="M12" t="str">
            <v>Калининский</v>
          </cell>
        </row>
        <row r="13">
          <cell r="A13">
            <v>3</v>
          </cell>
          <cell r="B13" t="str">
            <v>Автогудронатор 3500л</v>
          </cell>
          <cell r="C13" t="str">
            <v>м/ч</v>
          </cell>
          <cell r="D13">
            <v>15.48</v>
          </cell>
          <cell r="E13">
            <v>5.9930000000000003</v>
          </cell>
          <cell r="F13">
            <v>92.771640000000005</v>
          </cell>
          <cell r="G13">
            <v>77.02</v>
          </cell>
          <cell r="H13">
            <v>1192.2696000000001</v>
          </cell>
          <cell r="I13">
            <v>12.851660270315367</v>
          </cell>
          <cell r="J13">
            <v>1099.4979600000001</v>
          </cell>
          <cell r="M13" t="str">
            <v>Калининский</v>
          </cell>
        </row>
        <row r="14">
          <cell r="A14">
            <v>4</v>
          </cell>
          <cell r="B14" t="str">
            <v>Машина поливомоечная</v>
          </cell>
          <cell r="C14" t="str">
            <v>м/ч</v>
          </cell>
          <cell r="D14">
            <v>13.031999999999998</v>
          </cell>
          <cell r="E14">
            <v>6.16</v>
          </cell>
          <cell r="F14">
            <v>80.277119999999996</v>
          </cell>
          <cell r="G14">
            <v>197.6</v>
          </cell>
          <cell r="H14">
            <v>2575.1231999999995</v>
          </cell>
          <cell r="I14">
            <v>32.077922077922075</v>
          </cell>
          <cell r="J14">
            <v>2494.8460799999993</v>
          </cell>
          <cell r="M14" t="str">
            <v>Калининский</v>
          </cell>
        </row>
        <row r="15">
          <cell r="A15">
            <v>5</v>
          </cell>
          <cell r="B15" t="str">
            <v xml:space="preserve">Каток  самоходный гладкий 5 тн </v>
          </cell>
          <cell r="C15" t="str">
            <v>м/ч</v>
          </cell>
          <cell r="D15">
            <v>242.16</v>
          </cell>
          <cell r="E15">
            <v>1.81</v>
          </cell>
          <cell r="F15">
            <v>438.30959999999999</v>
          </cell>
          <cell r="G15">
            <v>80.16</v>
          </cell>
          <cell r="H15">
            <v>19411.545599999998</v>
          </cell>
          <cell r="I15">
            <v>44.287292817679557</v>
          </cell>
          <cell r="J15">
            <v>18973.235999999997</v>
          </cell>
          <cell r="M15" t="str">
            <v>Калининский</v>
          </cell>
        </row>
        <row r="16">
          <cell r="A16">
            <v>6</v>
          </cell>
          <cell r="B16" t="str">
            <v xml:space="preserve">Каток вальцевый  10 тн </v>
          </cell>
          <cell r="C16" t="str">
            <v>м/ч</v>
          </cell>
          <cell r="D16">
            <v>389.94</v>
          </cell>
          <cell r="E16">
            <v>1.69</v>
          </cell>
          <cell r="F16">
            <v>659</v>
          </cell>
          <cell r="G16">
            <v>117.14</v>
          </cell>
          <cell r="H16">
            <v>45677.571600000003</v>
          </cell>
          <cell r="I16">
            <v>69.313462215477998</v>
          </cell>
          <cell r="J16">
            <v>45018.571600000003</v>
          </cell>
          <cell r="M16" t="str">
            <v>Калининский</v>
          </cell>
        </row>
        <row r="17">
          <cell r="A17">
            <v>7</v>
          </cell>
          <cell r="B17" t="str">
            <v>Укладчик а/бетона</v>
          </cell>
          <cell r="C17" t="str">
            <v>м/ч</v>
          </cell>
          <cell r="D17">
            <v>77.063999999999993</v>
          </cell>
          <cell r="E17">
            <v>2.29</v>
          </cell>
          <cell r="F17">
            <v>176.47655999999998</v>
          </cell>
          <cell r="G17">
            <v>148.81</v>
          </cell>
          <cell r="H17">
            <v>11467.893839999999</v>
          </cell>
          <cell r="I17">
            <v>64.982532751091711</v>
          </cell>
          <cell r="J17">
            <v>11291.41728</v>
          </cell>
          <cell r="M17" t="str">
            <v>Калининский</v>
          </cell>
        </row>
        <row r="18">
          <cell r="A18">
            <v>8</v>
          </cell>
          <cell r="B18" t="str">
            <v>Пневмокаток 18тн</v>
          </cell>
          <cell r="C18" t="str">
            <v>м/ч</v>
          </cell>
          <cell r="D18">
            <v>5.04</v>
          </cell>
          <cell r="E18">
            <v>4.88</v>
          </cell>
          <cell r="F18">
            <v>24.595199999999998</v>
          </cell>
          <cell r="G18">
            <v>94.73</v>
          </cell>
          <cell r="H18">
            <v>477.43920000000003</v>
          </cell>
          <cell r="I18">
            <v>19.41188524590164</v>
          </cell>
          <cell r="J18">
            <v>452.84400000000005</v>
          </cell>
          <cell r="M18" t="str">
            <v>Калининский</v>
          </cell>
        </row>
        <row r="19">
          <cell r="A19">
            <v>9</v>
          </cell>
          <cell r="B19" t="str">
            <v>Автогудронатор 7000 л</v>
          </cell>
          <cell r="C19" t="str">
            <v>м/ч</v>
          </cell>
          <cell r="D19">
            <v>10.404</v>
          </cell>
          <cell r="E19">
            <v>7.22</v>
          </cell>
          <cell r="F19">
            <v>75.116879999999995</v>
          </cell>
          <cell r="G19">
            <v>141.41</v>
          </cell>
          <cell r="H19">
            <v>1471.22964</v>
          </cell>
          <cell r="I19">
            <v>19.585872576177287</v>
          </cell>
          <cell r="J19">
            <v>1396.11276</v>
          </cell>
          <cell r="M19" t="str">
            <v>Калининский</v>
          </cell>
        </row>
        <row r="20">
          <cell r="A20">
            <v>10</v>
          </cell>
          <cell r="B20" t="str">
            <v>Прочие машины</v>
          </cell>
          <cell r="C20" t="str">
            <v>руб</v>
          </cell>
          <cell r="D20">
            <v>57.03</v>
          </cell>
          <cell r="E20">
            <v>1</v>
          </cell>
          <cell r="F20">
            <v>57.03</v>
          </cell>
          <cell r="G20">
            <v>20</v>
          </cell>
          <cell r="H20">
            <v>1140.5999999999999</v>
          </cell>
          <cell r="I20">
            <v>19.999999999999996</v>
          </cell>
          <cell r="J20">
            <v>1083.57</v>
          </cell>
          <cell r="M20" t="str">
            <v>Калининский</v>
          </cell>
        </row>
        <row r="21">
          <cell r="M21" t="str">
            <v>Калининский</v>
          </cell>
        </row>
        <row r="22">
          <cell r="A22" t="str">
            <v>96-1.3.</v>
          </cell>
          <cell r="B22" t="str">
            <v>Материалы +транспортные расходы+заготовительно складские</v>
          </cell>
          <cell r="F22">
            <v>60357.78</v>
          </cell>
          <cell r="H22">
            <v>1917925.6</v>
          </cell>
          <cell r="I22">
            <v>31.775946696515348</v>
          </cell>
          <cell r="J22">
            <v>1857567.8199999998</v>
          </cell>
          <cell r="K22">
            <v>96</v>
          </cell>
          <cell r="L22" t="str">
            <v>1.3.</v>
          </cell>
          <cell r="M22" t="str">
            <v>Калининский</v>
          </cell>
        </row>
        <row r="23">
          <cell r="B23" t="str">
            <v>Материальные ресурсы по нормам СНиП</v>
          </cell>
          <cell r="F23">
            <v>44641.05</v>
          </cell>
          <cell r="H23">
            <v>1633625.1400000001</v>
          </cell>
          <cell r="I23">
            <v>36.594684488828108</v>
          </cell>
          <cell r="J23">
            <v>1588984.0899999999</v>
          </cell>
          <cell r="M23" t="str">
            <v>Калининский</v>
          </cell>
        </row>
        <row r="24">
          <cell r="A24">
            <v>1</v>
          </cell>
          <cell r="B24" t="str">
            <v>ПГС</v>
          </cell>
          <cell r="C24" t="str">
            <v>м3</v>
          </cell>
          <cell r="D24">
            <v>833</v>
          </cell>
          <cell r="E24">
            <v>1.9</v>
          </cell>
          <cell r="F24">
            <v>1582.6999999999998</v>
          </cell>
          <cell r="G24">
            <v>40.57</v>
          </cell>
          <cell r="H24">
            <v>33794.81</v>
          </cell>
          <cell r="I24">
            <v>21.352631578947371</v>
          </cell>
          <cell r="J24">
            <v>32212.109999999997</v>
          </cell>
          <cell r="M24" t="str">
            <v>Калининский</v>
          </cell>
        </row>
        <row r="25">
          <cell r="A25">
            <v>2</v>
          </cell>
          <cell r="B25" t="str">
            <v xml:space="preserve">Битум вязкий </v>
          </cell>
          <cell r="C25" t="str">
            <v>т</v>
          </cell>
          <cell r="D25">
            <v>30</v>
          </cell>
          <cell r="E25">
            <v>65.88</v>
          </cell>
          <cell r="F25">
            <v>1976.3999999999999</v>
          </cell>
          <cell r="G25">
            <v>3528.4</v>
          </cell>
          <cell r="H25">
            <v>105852</v>
          </cell>
          <cell r="I25">
            <v>53.557984213721923</v>
          </cell>
          <cell r="J25">
            <v>103875.6</v>
          </cell>
          <cell r="M25" t="str">
            <v>Калининский</v>
          </cell>
        </row>
        <row r="26">
          <cell r="A26">
            <v>3</v>
          </cell>
          <cell r="B26" t="str">
            <v>Битум жидкий</v>
          </cell>
          <cell r="C26" t="str">
            <v>т</v>
          </cell>
          <cell r="D26">
            <v>15</v>
          </cell>
          <cell r="E26">
            <v>63.37</v>
          </cell>
          <cell r="F26">
            <v>950.55</v>
          </cell>
          <cell r="G26">
            <v>3493.63</v>
          </cell>
          <cell r="H26">
            <v>52404.450000000004</v>
          </cell>
          <cell r="I26">
            <v>55.130661196149603</v>
          </cell>
          <cell r="J26">
            <v>51453.9</v>
          </cell>
          <cell r="M26" t="str">
            <v>Калининский</v>
          </cell>
        </row>
        <row r="27">
          <cell r="A27">
            <v>4</v>
          </cell>
          <cell r="B27" t="str">
            <v>М/з а/ бетонная смесь</v>
          </cell>
          <cell r="C27" t="str">
            <v>т</v>
          </cell>
          <cell r="D27">
            <v>1990</v>
          </cell>
          <cell r="E27">
            <v>14.84</v>
          </cell>
          <cell r="F27">
            <v>29531.599999999999</v>
          </cell>
          <cell r="G27">
            <v>569.5</v>
          </cell>
          <cell r="H27">
            <v>1133305</v>
          </cell>
          <cell r="I27">
            <v>38.376010781671162</v>
          </cell>
          <cell r="J27">
            <v>1103773.3999999999</v>
          </cell>
          <cell r="M27" t="str">
            <v>Калининский</v>
          </cell>
        </row>
        <row r="28">
          <cell r="A28">
            <v>5</v>
          </cell>
          <cell r="B28" t="str">
            <v>Черный щебень</v>
          </cell>
          <cell r="C28" t="str">
            <v>т</v>
          </cell>
          <cell r="D28">
            <v>826</v>
          </cell>
          <cell r="E28">
            <v>12.799999999999999</v>
          </cell>
          <cell r="F28">
            <v>10572.8</v>
          </cell>
          <cell r="G28">
            <v>372.88</v>
          </cell>
          <cell r="H28">
            <v>307998.88</v>
          </cell>
          <cell r="I28">
            <v>29.131250000000001</v>
          </cell>
          <cell r="J28">
            <v>297426.08</v>
          </cell>
          <cell r="M28" t="str">
            <v>Калининский</v>
          </cell>
        </row>
        <row r="29">
          <cell r="A29">
            <v>6</v>
          </cell>
          <cell r="B29" t="str">
            <v>Прочие материалы</v>
          </cell>
          <cell r="C29" t="str">
            <v>руб.</v>
          </cell>
          <cell r="D29">
            <v>27</v>
          </cell>
          <cell r="E29">
            <v>1</v>
          </cell>
          <cell r="F29">
            <v>27</v>
          </cell>
          <cell r="G29">
            <v>10</v>
          </cell>
          <cell r="H29">
            <v>270</v>
          </cell>
          <cell r="I29">
            <v>10</v>
          </cell>
          <cell r="J29">
            <v>243</v>
          </cell>
          <cell r="M29" t="str">
            <v>Калининский</v>
          </cell>
        </row>
        <row r="30">
          <cell r="A30">
            <v>7</v>
          </cell>
          <cell r="F30">
            <v>0</v>
          </cell>
          <cell r="H30">
            <v>0</v>
          </cell>
          <cell r="I30" t="e">
            <v>#DIV/0!</v>
          </cell>
          <cell r="J30">
            <v>0</v>
          </cell>
          <cell r="M30" t="str">
            <v>Калининский</v>
          </cell>
        </row>
        <row r="31">
          <cell r="A31">
            <v>8</v>
          </cell>
          <cell r="F31">
            <v>0</v>
          </cell>
          <cell r="H31">
            <v>0</v>
          </cell>
          <cell r="I31" t="e">
            <v>#DIV/0!</v>
          </cell>
          <cell r="J31">
            <v>0</v>
          </cell>
          <cell r="M31" t="str">
            <v>Калининский</v>
          </cell>
        </row>
        <row r="32">
          <cell r="A32">
            <v>9</v>
          </cell>
          <cell r="F32">
            <v>0</v>
          </cell>
          <cell r="H32">
            <v>0</v>
          </cell>
          <cell r="I32" t="e">
            <v>#DIV/0!</v>
          </cell>
          <cell r="J32">
            <v>0</v>
          </cell>
          <cell r="M32" t="str">
            <v>Калининский</v>
          </cell>
        </row>
        <row r="33">
          <cell r="A33">
            <v>10</v>
          </cell>
          <cell r="F33">
            <v>0</v>
          </cell>
          <cell r="H33">
            <v>0</v>
          </cell>
          <cell r="I33" t="e">
            <v>#DIV/0!</v>
          </cell>
          <cell r="J33">
            <v>0</v>
          </cell>
          <cell r="M33" t="str">
            <v>Калининский</v>
          </cell>
        </row>
        <row r="34">
          <cell r="M34" t="str">
            <v>Калининский</v>
          </cell>
        </row>
        <row r="35">
          <cell r="B35" t="str">
            <v>Транспортировка материалов, т (вид транспорта, км)</v>
          </cell>
          <cell r="F35">
            <v>15716.73</v>
          </cell>
          <cell r="H35">
            <v>284300.46000000002</v>
          </cell>
          <cell r="I35">
            <v>18.089033787562681</v>
          </cell>
          <cell r="J35">
            <v>268583.73</v>
          </cell>
          <cell r="M35" t="str">
            <v>Калининский</v>
          </cell>
        </row>
        <row r="36">
          <cell r="A36">
            <v>1</v>
          </cell>
          <cell r="B36" t="str">
            <v>ПГС - 154 км</v>
          </cell>
          <cell r="C36" t="str">
            <v>т</v>
          </cell>
          <cell r="D36">
            <v>1499</v>
          </cell>
          <cell r="E36">
            <v>7.31</v>
          </cell>
          <cell r="F36">
            <v>10957.689999999999</v>
          </cell>
          <cell r="G36">
            <v>150.97999999999999</v>
          </cell>
          <cell r="H36">
            <v>226319.02</v>
          </cell>
          <cell r="I36">
            <v>20.653898768809849</v>
          </cell>
          <cell r="J36">
            <v>215361.33</v>
          </cell>
          <cell r="M36" t="str">
            <v>Калининский</v>
          </cell>
        </row>
        <row r="37">
          <cell r="A37">
            <v>2</v>
          </cell>
          <cell r="B37" t="str">
            <v>Битум вязкий -57 км</v>
          </cell>
          <cell r="C37" t="str">
            <v>т</v>
          </cell>
          <cell r="D37">
            <v>0</v>
          </cell>
          <cell r="E37">
            <v>0</v>
          </cell>
          <cell r="F37">
            <v>0</v>
          </cell>
          <cell r="G37">
            <v>105.29600000000001</v>
          </cell>
          <cell r="H37">
            <v>0</v>
          </cell>
          <cell r="I37" t="e">
            <v>#DIV/0!</v>
          </cell>
          <cell r="J37">
            <v>0</v>
          </cell>
          <cell r="M37" t="str">
            <v>Калининский</v>
          </cell>
        </row>
        <row r="38">
          <cell r="A38">
            <v>3</v>
          </cell>
          <cell r="B38" t="str">
            <v>Битум жидкий-57 км</v>
          </cell>
          <cell r="C38" t="str">
            <v>т</v>
          </cell>
          <cell r="D38">
            <v>0</v>
          </cell>
          <cell r="E38">
            <v>0</v>
          </cell>
          <cell r="F38">
            <v>0</v>
          </cell>
          <cell r="G38">
            <v>105.29600000000001</v>
          </cell>
          <cell r="H38">
            <v>0</v>
          </cell>
          <cell r="I38" t="e">
            <v>#DIV/0!</v>
          </cell>
          <cell r="J38">
            <v>0</v>
          </cell>
          <cell r="M38" t="str">
            <v>Калининский</v>
          </cell>
        </row>
        <row r="39">
          <cell r="A39">
            <v>4</v>
          </cell>
          <cell r="B39" t="str">
            <v>М/з а/ бетонная смесь -17 км</v>
          </cell>
          <cell r="C39" t="str">
            <v>т</v>
          </cell>
          <cell r="D39">
            <v>1990</v>
          </cell>
          <cell r="E39">
            <v>1.69</v>
          </cell>
          <cell r="F39">
            <v>3363.1</v>
          </cell>
          <cell r="G39">
            <v>20.59</v>
          </cell>
          <cell r="H39">
            <v>40974.1</v>
          </cell>
          <cell r="I39">
            <v>12.183431952662723</v>
          </cell>
          <cell r="J39">
            <v>37611</v>
          </cell>
          <cell r="M39" t="str">
            <v>Калининский</v>
          </cell>
        </row>
        <row r="40">
          <cell r="A40">
            <v>5</v>
          </cell>
          <cell r="B40" t="str">
            <v>Черный щебень-17 км</v>
          </cell>
          <cell r="C40" t="str">
            <v>т</v>
          </cell>
          <cell r="D40">
            <v>826</v>
          </cell>
          <cell r="E40">
            <v>1.69</v>
          </cell>
          <cell r="F40">
            <v>1395.94</v>
          </cell>
          <cell r="G40">
            <v>20.59</v>
          </cell>
          <cell r="H40">
            <v>17007.34</v>
          </cell>
          <cell r="I40">
            <v>12.183431952662721</v>
          </cell>
          <cell r="J40">
            <v>15611.4</v>
          </cell>
          <cell r="M40" t="str">
            <v>Калининский</v>
          </cell>
        </row>
        <row r="41">
          <cell r="A41">
            <v>6</v>
          </cell>
          <cell r="C41" t="str">
            <v>т</v>
          </cell>
          <cell r="H41">
            <v>0</v>
          </cell>
          <cell r="I41" t="e">
            <v>#DIV/0!</v>
          </cell>
          <cell r="J41">
            <v>0</v>
          </cell>
          <cell r="M41" t="str">
            <v>Калининский</v>
          </cell>
        </row>
        <row r="42">
          <cell r="A42">
            <v>7</v>
          </cell>
          <cell r="C42" t="str">
            <v>т</v>
          </cell>
          <cell r="F42">
            <v>0</v>
          </cell>
          <cell r="H42">
            <v>0</v>
          </cell>
          <cell r="I42" t="e">
            <v>#DIV/0!</v>
          </cell>
          <cell r="J42">
            <v>0</v>
          </cell>
          <cell r="M42" t="str">
            <v>Калининский</v>
          </cell>
        </row>
        <row r="43">
          <cell r="A43">
            <v>8</v>
          </cell>
          <cell r="C43" t="str">
            <v>т</v>
          </cell>
          <cell r="F43">
            <v>0</v>
          </cell>
          <cell r="H43">
            <v>0</v>
          </cell>
          <cell r="I43" t="e">
            <v>#DIV/0!</v>
          </cell>
          <cell r="J43">
            <v>0</v>
          </cell>
          <cell r="M43" t="str">
            <v>Калининский</v>
          </cell>
        </row>
        <row r="44">
          <cell r="A44">
            <v>9</v>
          </cell>
          <cell r="C44" t="str">
            <v>т</v>
          </cell>
          <cell r="F44">
            <v>0</v>
          </cell>
          <cell r="H44">
            <v>0</v>
          </cell>
          <cell r="I44" t="e">
            <v>#DIV/0!</v>
          </cell>
          <cell r="J44">
            <v>0</v>
          </cell>
          <cell r="M44" t="str">
            <v>Калининский</v>
          </cell>
        </row>
        <row r="45">
          <cell r="A45">
            <v>10</v>
          </cell>
          <cell r="C45" t="str">
            <v>т</v>
          </cell>
          <cell r="F45">
            <v>0</v>
          </cell>
          <cell r="H45">
            <v>0</v>
          </cell>
          <cell r="I45" t="e">
            <v>#DIV/0!</v>
          </cell>
          <cell r="J45">
            <v>0</v>
          </cell>
          <cell r="M45" t="str">
            <v>Калининский</v>
          </cell>
        </row>
        <row r="46">
          <cell r="M46" t="str">
            <v>Калининский</v>
          </cell>
        </row>
        <row r="47">
          <cell r="B47" t="str">
            <v>Заготовительно-складские расходы</v>
          </cell>
          <cell r="F47">
            <v>0</v>
          </cell>
          <cell r="H47">
            <v>0</v>
          </cell>
          <cell r="I47" t="e">
            <v>#DIV/0!</v>
          </cell>
          <cell r="J47">
            <v>0</v>
          </cell>
          <cell r="M47" t="str">
            <v>Калининский</v>
          </cell>
        </row>
        <row r="48">
          <cell r="A48">
            <v>1</v>
          </cell>
          <cell r="B48" t="str">
            <v>ПГС</v>
          </cell>
          <cell r="C48" t="str">
            <v>руб</v>
          </cell>
          <cell r="E48">
            <v>12540.39</v>
          </cell>
          <cell r="F48">
            <v>0</v>
          </cell>
          <cell r="H48">
            <v>0</v>
          </cell>
          <cell r="I48" t="e">
            <v>#DIV/0!</v>
          </cell>
          <cell r="J48">
            <v>0</v>
          </cell>
          <cell r="M48" t="str">
            <v>Калининский</v>
          </cell>
        </row>
        <row r="49">
          <cell r="A49">
            <v>2</v>
          </cell>
          <cell r="B49" t="str">
            <v xml:space="preserve">Битум вязкий </v>
          </cell>
          <cell r="C49" t="str">
            <v>руб</v>
          </cell>
          <cell r="E49">
            <v>1976.3999999999999</v>
          </cell>
          <cell r="F49">
            <v>0</v>
          </cell>
          <cell r="H49">
            <v>0</v>
          </cell>
          <cell r="I49" t="e">
            <v>#DIV/0!</v>
          </cell>
          <cell r="J49">
            <v>0</v>
          </cell>
          <cell r="M49" t="str">
            <v>Калининский</v>
          </cell>
        </row>
        <row r="50">
          <cell r="A50">
            <v>3</v>
          </cell>
          <cell r="B50" t="str">
            <v>Битум жидкий</v>
          </cell>
          <cell r="C50" t="str">
            <v>руб</v>
          </cell>
          <cell r="E50">
            <v>950.55</v>
          </cell>
          <cell r="F50">
            <v>0</v>
          </cell>
          <cell r="H50">
            <v>0</v>
          </cell>
          <cell r="I50" t="e">
            <v>#DIV/0!</v>
          </cell>
          <cell r="J50">
            <v>0</v>
          </cell>
          <cell r="M50" t="str">
            <v>Калининский</v>
          </cell>
        </row>
        <row r="51">
          <cell r="A51">
            <v>4</v>
          </cell>
          <cell r="B51" t="str">
            <v>М/з а/ бетонная смесь</v>
          </cell>
          <cell r="C51" t="str">
            <v>руб</v>
          </cell>
          <cell r="E51">
            <v>32894.699999999997</v>
          </cell>
          <cell r="F51">
            <v>0</v>
          </cell>
          <cell r="H51">
            <v>0</v>
          </cell>
          <cell r="I51" t="e">
            <v>#DIV/0!</v>
          </cell>
          <cell r="J51">
            <v>0</v>
          </cell>
          <cell r="M51" t="str">
            <v>Калининский</v>
          </cell>
        </row>
        <row r="52">
          <cell r="A52">
            <v>5</v>
          </cell>
          <cell r="B52" t="str">
            <v>Черный щебень</v>
          </cell>
          <cell r="C52" t="str">
            <v>руб</v>
          </cell>
          <cell r="E52">
            <v>11968.74</v>
          </cell>
          <cell r="F52">
            <v>0</v>
          </cell>
          <cell r="H52">
            <v>0</v>
          </cell>
          <cell r="I52" t="e">
            <v>#DIV/0!</v>
          </cell>
          <cell r="J52">
            <v>0</v>
          </cell>
          <cell r="M52" t="str">
            <v>Калининский</v>
          </cell>
        </row>
        <row r="53">
          <cell r="A53">
            <v>6</v>
          </cell>
          <cell r="B53" t="str">
            <v>Прочие материалы</v>
          </cell>
          <cell r="C53" t="str">
            <v>руб</v>
          </cell>
          <cell r="E53">
            <v>27</v>
          </cell>
          <cell r="F53">
            <v>0</v>
          </cell>
          <cell r="H53">
            <v>0</v>
          </cell>
          <cell r="I53" t="e">
            <v>#DIV/0!</v>
          </cell>
          <cell r="J53">
            <v>0</v>
          </cell>
          <cell r="M53" t="str">
            <v>Калининский</v>
          </cell>
        </row>
        <row r="54">
          <cell r="A54">
            <v>7</v>
          </cell>
          <cell r="B54">
            <v>0</v>
          </cell>
          <cell r="C54" t="str">
            <v>руб</v>
          </cell>
          <cell r="E54">
            <v>0</v>
          </cell>
          <cell r="F54">
            <v>0</v>
          </cell>
          <cell r="H54">
            <v>0</v>
          </cell>
          <cell r="I54" t="e">
            <v>#DIV/0!</v>
          </cell>
          <cell r="J54">
            <v>0</v>
          </cell>
          <cell r="M54" t="str">
            <v>Калининский</v>
          </cell>
        </row>
        <row r="55">
          <cell r="A55">
            <v>8</v>
          </cell>
          <cell r="B55">
            <v>0</v>
          </cell>
          <cell r="C55" t="str">
            <v>руб</v>
          </cell>
          <cell r="E55">
            <v>0</v>
          </cell>
          <cell r="F55">
            <v>0</v>
          </cell>
          <cell r="H55">
            <v>0</v>
          </cell>
          <cell r="I55" t="e">
            <v>#DIV/0!</v>
          </cell>
          <cell r="J55">
            <v>0</v>
          </cell>
          <cell r="M55" t="str">
            <v>Калининский</v>
          </cell>
        </row>
        <row r="56">
          <cell r="A56">
            <v>9</v>
          </cell>
          <cell r="B56">
            <v>0</v>
          </cell>
          <cell r="C56" t="str">
            <v>руб</v>
          </cell>
          <cell r="E56">
            <v>0</v>
          </cell>
          <cell r="F56">
            <v>0</v>
          </cell>
          <cell r="H56">
            <v>0</v>
          </cell>
          <cell r="I56" t="e">
            <v>#DIV/0!</v>
          </cell>
          <cell r="J56">
            <v>0</v>
          </cell>
          <cell r="M56" t="str">
            <v>Калининский</v>
          </cell>
        </row>
        <row r="57">
          <cell r="A57">
            <v>10</v>
          </cell>
          <cell r="B57">
            <v>0</v>
          </cell>
          <cell r="C57" t="str">
            <v>руб</v>
          </cell>
          <cell r="E57">
            <v>0</v>
          </cell>
          <cell r="F57">
            <v>0</v>
          </cell>
          <cell r="H57">
            <v>0</v>
          </cell>
          <cell r="I57" t="e">
            <v>#DIV/0!</v>
          </cell>
          <cell r="J57">
            <v>0</v>
          </cell>
          <cell r="M57" t="str">
            <v>Калининский</v>
          </cell>
        </row>
        <row r="58">
          <cell r="M58" t="str">
            <v>Калининский</v>
          </cell>
        </row>
        <row r="59">
          <cell r="M59" t="str">
            <v>Калининский</v>
          </cell>
        </row>
        <row r="60">
          <cell r="B60" t="str">
            <v>Составил:______________________________</v>
          </cell>
          <cell r="M60" t="str">
            <v>Калининский</v>
          </cell>
        </row>
        <row r="61">
          <cell r="B61" t="str">
            <v>Начальник ТДО: ________________________</v>
          </cell>
          <cell r="M61" t="str">
            <v>Калининский</v>
          </cell>
        </row>
        <row r="62">
          <cell r="B62" t="str">
            <v>Район: Калининский \ Калининская - Новониколаевская ;  км: 11+000-17+800 ; 29+200-30+500 \ Поверхностная обработка (II вариант)</v>
          </cell>
          <cell r="K62">
            <v>97</v>
          </cell>
          <cell r="M62" t="str">
            <v>Калининский</v>
          </cell>
        </row>
        <row r="63">
          <cell r="A63" t="str">
            <v>97-1.1.</v>
          </cell>
          <cell r="B63" t="str">
            <v>Фонд заработной платы</v>
          </cell>
          <cell r="D63">
            <v>4973</v>
          </cell>
          <cell r="F63">
            <v>3029</v>
          </cell>
          <cell r="H63">
            <v>64290.657000000007</v>
          </cell>
          <cell r="I63">
            <v>21.225043578738859</v>
          </cell>
          <cell r="J63">
            <v>61261.657000000007</v>
          </cell>
          <cell r="K63">
            <v>97</v>
          </cell>
          <cell r="L63" t="str">
            <v>1.1.</v>
          </cell>
          <cell r="M63" t="str">
            <v>Калининский</v>
          </cell>
        </row>
        <row r="64">
          <cell r="A64" t="str">
            <v>97-1.1.1.</v>
          </cell>
          <cell r="B64" t="str">
            <v>Основные рабочие</v>
          </cell>
          <cell r="C64" t="str">
            <v>ч/ч</v>
          </cell>
          <cell r="D64">
            <v>3137</v>
          </cell>
          <cell r="E64">
            <v>0.55403251514185525</v>
          </cell>
          <cell r="F64">
            <v>1738</v>
          </cell>
          <cell r="G64">
            <v>12.201000000000002</v>
          </cell>
          <cell r="H64">
            <v>38274.537000000004</v>
          </cell>
          <cell r="I64">
            <v>22.022173187571923</v>
          </cell>
          <cell r="J64">
            <v>36536.537000000004</v>
          </cell>
          <cell r="K64">
            <v>97</v>
          </cell>
          <cell r="L64" t="str">
            <v>1.1.1.</v>
          </cell>
          <cell r="M64" t="str">
            <v>Калининский</v>
          </cell>
        </row>
        <row r="65">
          <cell r="A65" t="str">
            <v>97-1.1.2.</v>
          </cell>
          <cell r="B65" t="str">
            <v>Машинисты</v>
          </cell>
          <cell r="C65" t="str">
            <v>ч/ч</v>
          </cell>
          <cell r="D65">
            <v>1836</v>
          </cell>
          <cell r="E65">
            <v>0.70315904139433549</v>
          </cell>
          <cell r="F65">
            <v>1291</v>
          </cell>
          <cell r="G65">
            <v>14.17</v>
          </cell>
          <cell r="H65">
            <v>26016.12</v>
          </cell>
          <cell r="I65">
            <v>20.151913245546087</v>
          </cell>
          <cell r="J65">
            <v>24725.119999999999</v>
          </cell>
          <cell r="K65">
            <v>97</v>
          </cell>
          <cell r="L65" t="str">
            <v>1.1.2.</v>
          </cell>
          <cell r="M65" t="str">
            <v>Калининский</v>
          </cell>
        </row>
        <row r="66">
          <cell r="M66" t="str">
            <v>Калининский</v>
          </cell>
        </row>
        <row r="67">
          <cell r="A67" t="str">
            <v>97-1.2.</v>
          </cell>
          <cell r="B67" t="str">
            <v>Технические ресурсы по нормам СНиП (без зарботной платы машиниста)</v>
          </cell>
          <cell r="F67">
            <v>3125.0059999999999</v>
          </cell>
          <cell r="H67">
            <v>175448.81647999998</v>
          </cell>
          <cell r="I67">
            <v>56.143513478054118</v>
          </cell>
          <cell r="J67">
            <v>172323.81047999999</v>
          </cell>
          <cell r="K67">
            <v>97</v>
          </cell>
          <cell r="L67" t="str">
            <v>1.2.</v>
          </cell>
          <cell r="M67" t="str">
            <v>Калининский</v>
          </cell>
        </row>
        <row r="68">
          <cell r="A68">
            <v>1</v>
          </cell>
          <cell r="B68" t="str">
            <v>Автогрейдер средний</v>
          </cell>
          <cell r="C68" t="str">
            <v>м/ч</v>
          </cell>
          <cell r="D68">
            <v>84.24</v>
          </cell>
          <cell r="E68">
            <v>2.48</v>
          </cell>
          <cell r="F68">
            <v>208.9152</v>
          </cell>
          <cell r="G68">
            <v>125.03</v>
          </cell>
          <cell r="H68">
            <v>10532.527199999999</v>
          </cell>
          <cell r="I68">
            <v>50.415322580645153</v>
          </cell>
          <cell r="J68">
            <v>10323.611999999999</v>
          </cell>
          <cell r="M68" t="str">
            <v>Калининский</v>
          </cell>
        </row>
        <row r="69">
          <cell r="A69">
            <v>2</v>
          </cell>
          <cell r="B69" t="str">
            <v>Щебнераспределитель</v>
          </cell>
          <cell r="C69" t="str">
            <v>м/ч</v>
          </cell>
          <cell r="D69">
            <v>77.195999999999998</v>
          </cell>
          <cell r="E69">
            <v>4.21</v>
          </cell>
          <cell r="F69">
            <v>325</v>
          </cell>
          <cell r="G69">
            <v>86.93</v>
          </cell>
          <cell r="H69">
            <v>6710.6482800000003</v>
          </cell>
          <cell r="I69">
            <v>20.648148553846156</v>
          </cell>
          <cell r="J69">
            <v>6385.6482800000003</v>
          </cell>
          <cell r="M69" t="str">
            <v>Калининский</v>
          </cell>
        </row>
        <row r="70">
          <cell r="A70">
            <v>3</v>
          </cell>
          <cell r="B70" t="str">
            <v>Автогудронатор 3500л</v>
          </cell>
          <cell r="C70" t="str">
            <v>м/ч</v>
          </cell>
          <cell r="D70">
            <v>29.52</v>
          </cell>
          <cell r="E70">
            <v>5.99</v>
          </cell>
          <cell r="F70">
            <v>176.82480000000001</v>
          </cell>
          <cell r="G70">
            <v>77.02</v>
          </cell>
          <cell r="H70">
            <v>2273.6304</v>
          </cell>
          <cell r="I70">
            <v>12.858096828046744</v>
          </cell>
          <cell r="J70">
            <v>2096.8056000000001</v>
          </cell>
          <cell r="M70" t="str">
            <v>Калининский</v>
          </cell>
        </row>
        <row r="71">
          <cell r="A71">
            <v>4</v>
          </cell>
          <cell r="B71" t="str">
            <v>Машина поливомоечная</v>
          </cell>
          <cell r="C71" t="str">
            <v>м/ч</v>
          </cell>
          <cell r="D71">
            <v>27.936</v>
          </cell>
          <cell r="E71">
            <v>6.16</v>
          </cell>
          <cell r="F71">
            <v>172.08575999999999</v>
          </cell>
          <cell r="G71">
            <v>197.6</v>
          </cell>
          <cell r="H71">
            <v>5520.1535999999996</v>
          </cell>
          <cell r="I71">
            <v>32.077922077922075</v>
          </cell>
          <cell r="J71">
            <v>5348.0678399999997</v>
          </cell>
          <cell r="M71" t="str">
            <v>Калининский</v>
          </cell>
        </row>
        <row r="72">
          <cell r="A72">
            <v>5</v>
          </cell>
          <cell r="B72" t="str">
            <v xml:space="preserve">Каток  самоходный гладкий 5 тн </v>
          </cell>
          <cell r="C72" t="str">
            <v>м/ч</v>
          </cell>
          <cell r="D72">
            <v>460.63200000000001</v>
          </cell>
          <cell r="E72">
            <v>1.81</v>
          </cell>
          <cell r="F72">
            <v>833.74392</v>
          </cell>
          <cell r="G72">
            <v>80.16</v>
          </cell>
          <cell r="H72">
            <v>36924.261119999996</v>
          </cell>
          <cell r="I72">
            <v>44.28729281767955</v>
          </cell>
          <cell r="J72">
            <v>36090.517199999995</v>
          </cell>
          <cell r="M72" t="str">
            <v>Калининский</v>
          </cell>
        </row>
        <row r="73">
          <cell r="A73">
            <v>6</v>
          </cell>
          <cell r="B73" t="str">
            <v xml:space="preserve">Каток вальцевый  10 тн </v>
          </cell>
          <cell r="C73" t="str">
            <v>м/ч</v>
          </cell>
          <cell r="D73">
            <v>705.40800000000002</v>
          </cell>
          <cell r="E73">
            <v>1.69</v>
          </cell>
          <cell r="F73">
            <v>680</v>
          </cell>
          <cell r="G73">
            <v>117.14</v>
          </cell>
          <cell r="H73">
            <v>82631.493119999999</v>
          </cell>
          <cell r="I73">
            <v>121.51690164705882</v>
          </cell>
          <cell r="J73">
            <v>81951.493119999999</v>
          </cell>
          <cell r="M73" t="str">
            <v>Калининский</v>
          </cell>
        </row>
        <row r="74">
          <cell r="A74">
            <v>7</v>
          </cell>
          <cell r="B74" t="str">
            <v>Укладчик а/бетона</v>
          </cell>
          <cell r="C74" t="str">
            <v>м/ч</v>
          </cell>
          <cell r="D74">
            <v>158.93999999999997</v>
          </cell>
          <cell r="E74">
            <v>2.29</v>
          </cell>
          <cell r="F74">
            <v>364</v>
          </cell>
          <cell r="G74">
            <v>148.81</v>
          </cell>
          <cell r="H74">
            <v>23651.861399999994</v>
          </cell>
          <cell r="I74">
            <v>64.977641208791198</v>
          </cell>
          <cell r="J74">
            <v>23287.861399999994</v>
          </cell>
          <cell r="M74" t="str">
            <v>Калининский</v>
          </cell>
        </row>
        <row r="75">
          <cell r="A75">
            <v>8</v>
          </cell>
          <cell r="B75" t="str">
            <v>Пневмокаток 18тн</v>
          </cell>
          <cell r="C75" t="str">
            <v>м/ч</v>
          </cell>
          <cell r="D75">
            <v>12.96</v>
          </cell>
          <cell r="E75">
            <v>4.88</v>
          </cell>
          <cell r="F75">
            <v>63.244800000000005</v>
          </cell>
          <cell r="G75">
            <v>94.73</v>
          </cell>
          <cell r="H75">
            <v>1227.7008000000001</v>
          </cell>
          <cell r="I75">
            <v>19.41188524590164</v>
          </cell>
          <cell r="J75">
            <v>1164.4560000000001</v>
          </cell>
          <cell r="M75" t="str">
            <v>Калининский</v>
          </cell>
        </row>
        <row r="76">
          <cell r="A76">
            <v>9</v>
          </cell>
          <cell r="B76" t="str">
            <v>Автогудронатор 7000 л</v>
          </cell>
          <cell r="C76" t="str">
            <v>м/ч</v>
          </cell>
          <cell r="D76">
            <v>15.815999999999999</v>
          </cell>
          <cell r="E76">
            <v>7.22</v>
          </cell>
          <cell r="F76">
            <v>114.19151999999998</v>
          </cell>
          <cell r="G76">
            <v>141.41</v>
          </cell>
          <cell r="H76">
            <v>2236.5405599999999</v>
          </cell>
          <cell r="I76">
            <v>19.585872576177287</v>
          </cell>
          <cell r="J76">
            <v>2122.3490400000001</v>
          </cell>
          <cell r="M76" t="str">
            <v>Калининский</v>
          </cell>
        </row>
        <row r="77">
          <cell r="A77">
            <v>10</v>
          </cell>
          <cell r="B77" t="str">
            <v>Прочие машины</v>
          </cell>
          <cell r="C77" t="str">
            <v>руб</v>
          </cell>
          <cell r="D77">
            <v>187</v>
          </cell>
          <cell r="E77">
            <v>1</v>
          </cell>
          <cell r="F77">
            <v>187</v>
          </cell>
          <cell r="G77">
            <v>20</v>
          </cell>
          <cell r="H77">
            <v>3740</v>
          </cell>
          <cell r="I77">
            <v>20</v>
          </cell>
          <cell r="J77">
            <v>3553</v>
          </cell>
          <cell r="M77" t="str">
            <v>Калининский</v>
          </cell>
        </row>
        <row r="78">
          <cell r="M78" t="str">
            <v>Калининский</v>
          </cell>
        </row>
        <row r="79">
          <cell r="A79" t="str">
            <v>97-1.3.</v>
          </cell>
          <cell r="B79" t="str">
            <v>Материалы</v>
          </cell>
          <cell r="F79">
            <v>93960.54</v>
          </cell>
          <cell r="H79">
            <v>2958439.76</v>
          </cell>
          <cell r="I79">
            <v>31.485980817053626</v>
          </cell>
          <cell r="J79">
            <v>2864479.2199999997</v>
          </cell>
          <cell r="K79">
            <v>97</v>
          </cell>
          <cell r="L79" t="str">
            <v>1.3.</v>
          </cell>
          <cell r="M79" t="str">
            <v>Калининский</v>
          </cell>
        </row>
        <row r="80">
          <cell r="B80" t="str">
            <v>Материальные ресурсы по нормам СНиП</v>
          </cell>
          <cell r="F80">
            <v>67774.299999999988</v>
          </cell>
          <cell r="H80">
            <v>2480403.56</v>
          </cell>
          <cell r="I80">
            <v>36.597995995532237</v>
          </cell>
          <cell r="J80">
            <v>2412629.2599999998</v>
          </cell>
          <cell r="M80" t="str">
            <v>Калининский</v>
          </cell>
        </row>
        <row r="81">
          <cell r="A81">
            <v>1</v>
          </cell>
          <cell r="B81" t="str">
            <v>ПГС</v>
          </cell>
          <cell r="C81" t="str">
            <v>м3</v>
          </cell>
          <cell r="D81">
            <v>1190</v>
          </cell>
          <cell r="E81">
            <v>1.9</v>
          </cell>
          <cell r="F81">
            <v>2261</v>
          </cell>
          <cell r="G81">
            <v>40.57</v>
          </cell>
          <cell r="H81">
            <v>48278.3</v>
          </cell>
          <cell r="I81">
            <v>21.352631578947371</v>
          </cell>
          <cell r="J81">
            <v>46017.3</v>
          </cell>
          <cell r="M81" t="str">
            <v>Калининский</v>
          </cell>
        </row>
        <row r="82">
          <cell r="A82">
            <v>2</v>
          </cell>
          <cell r="B82" t="str">
            <v xml:space="preserve">Битум вязкий </v>
          </cell>
          <cell r="C82" t="str">
            <v>т</v>
          </cell>
          <cell r="D82">
            <v>45</v>
          </cell>
          <cell r="E82">
            <v>65.88</v>
          </cell>
          <cell r="F82">
            <v>2964.6</v>
          </cell>
          <cell r="G82">
            <v>3528.4</v>
          </cell>
          <cell r="H82">
            <v>158778</v>
          </cell>
          <cell r="I82">
            <v>53.557984213721923</v>
          </cell>
          <cell r="J82">
            <v>155813.4</v>
          </cell>
          <cell r="M82" t="str">
            <v>Калининский</v>
          </cell>
        </row>
        <row r="83">
          <cell r="A83">
            <v>3</v>
          </cell>
          <cell r="B83" t="str">
            <v>Битум жидкий</v>
          </cell>
          <cell r="C83" t="str">
            <v>т</v>
          </cell>
          <cell r="D83">
            <v>22</v>
          </cell>
          <cell r="E83">
            <v>63.37</v>
          </cell>
          <cell r="F83">
            <v>1394.1399999999999</v>
          </cell>
          <cell r="G83">
            <v>3493.63</v>
          </cell>
          <cell r="H83">
            <v>76859.86</v>
          </cell>
          <cell r="I83">
            <v>55.130661196149603</v>
          </cell>
          <cell r="J83">
            <v>75465.72</v>
          </cell>
          <cell r="M83" t="str">
            <v>Калининский</v>
          </cell>
        </row>
        <row r="84">
          <cell r="A84">
            <v>4</v>
          </cell>
          <cell r="B84" t="str">
            <v>М/з а/ бетонная смесь</v>
          </cell>
          <cell r="C84" t="str">
            <v>т</v>
          </cell>
          <cell r="D84">
            <v>3034</v>
          </cell>
          <cell r="E84">
            <v>14.84</v>
          </cell>
          <cell r="F84">
            <v>45024.56</v>
          </cell>
          <cell r="G84">
            <v>569.5</v>
          </cell>
          <cell r="H84">
            <v>1727863</v>
          </cell>
          <cell r="I84">
            <v>38.376010781671162</v>
          </cell>
          <cell r="J84">
            <v>1682838.44</v>
          </cell>
          <cell r="M84" t="str">
            <v>Калининский</v>
          </cell>
        </row>
        <row r="85">
          <cell r="A85">
            <v>5</v>
          </cell>
          <cell r="B85" t="str">
            <v>черный щебень</v>
          </cell>
          <cell r="C85" t="str">
            <v>т</v>
          </cell>
          <cell r="D85">
            <v>1255</v>
          </cell>
          <cell r="E85">
            <v>12.8</v>
          </cell>
          <cell r="F85">
            <v>16064</v>
          </cell>
          <cell r="G85">
            <v>372.88</v>
          </cell>
          <cell r="H85">
            <v>467964.4</v>
          </cell>
          <cell r="I85">
            <v>29.131250000000001</v>
          </cell>
          <cell r="J85">
            <v>451900.4</v>
          </cell>
          <cell r="M85" t="str">
            <v>Калининский</v>
          </cell>
        </row>
        <row r="86">
          <cell r="A86">
            <v>6</v>
          </cell>
          <cell r="B86" t="str">
            <v>Прочие материалы</v>
          </cell>
          <cell r="C86" t="str">
            <v>руб.</v>
          </cell>
          <cell r="D86">
            <v>66</v>
          </cell>
          <cell r="E86">
            <v>1</v>
          </cell>
          <cell r="F86">
            <v>66</v>
          </cell>
          <cell r="G86">
            <v>10</v>
          </cell>
          <cell r="H86">
            <v>660</v>
          </cell>
          <cell r="I86">
            <v>10</v>
          </cell>
          <cell r="J86">
            <v>594</v>
          </cell>
          <cell r="M86" t="str">
            <v>Калининский</v>
          </cell>
        </row>
        <row r="87">
          <cell r="A87">
            <v>7</v>
          </cell>
          <cell r="F87">
            <v>0</v>
          </cell>
          <cell r="H87">
            <v>0</v>
          </cell>
          <cell r="I87" t="e">
            <v>#DIV/0!</v>
          </cell>
          <cell r="J87">
            <v>0</v>
          </cell>
          <cell r="M87" t="str">
            <v>Калининский</v>
          </cell>
        </row>
        <row r="88">
          <cell r="A88">
            <v>8</v>
          </cell>
          <cell r="F88">
            <v>0</v>
          </cell>
          <cell r="H88">
            <v>0</v>
          </cell>
          <cell r="I88" t="e">
            <v>#DIV/0!</v>
          </cell>
          <cell r="J88">
            <v>0</v>
          </cell>
          <cell r="M88" t="str">
            <v>Калининский</v>
          </cell>
        </row>
        <row r="89">
          <cell r="A89">
            <v>9</v>
          </cell>
          <cell r="F89">
            <v>0</v>
          </cell>
          <cell r="H89">
            <v>0</v>
          </cell>
          <cell r="I89" t="e">
            <v>#DIV/0!</v>
          </cell>
          <cell r="J89">
            <v>0</v>
          </cell>
          <cell r="M89" t="str">
            <v>Калининский</v>
          </cell>
        </row>
        <row r="90">
          <cell r="A90">
            <v>10</v>
          </cell>
          <cell r="F90">
            <v>0</v>
          </cell>
          <cell r="H90">
            <v>0</v>
          </cell>
          <cell r="I90" t="e">
            <v>#DIV/0!</v>
          </cell>
          <cell r="J90">
            <v>0</v>
          </cell>
          <cell r="M90" t="str">
            <v>Калининский</v>
          </cell>
        </row>
        <row r="91">
          <cell r="M91" t="str">
            <v>Калининский</v>
          </cell>
        </row>
        <row r="92">
          <cell r="B92" t="str">
            <v>Транспортировка материалов, т (вид транспорта, км)</v>
          </cell>
          <cell r="F92">
            <v>26186.240000000002</v>
          </cell>
          <cell r="H92">
            <v>478036.19999999995</v>
          </cell>
          <cell r="I92">
            <v>18.255243975461919</v>
          </cell>
          <cell r="J92">
            <v>451849.95999999996</v>
          </cell>
          <cell r="M92" t="str">
            <v>Калининский</v>
          </cell>
        </row>
        <row r="93">
          <cell r="A93">
            <v>1</v>
          </cell>
          <cell r="B93" t="str">
            <v>ПГС - 163 км</v>
          </cell>
          <cell r="C93" t="str">
            <v>т</v>
          </cell>
          <cell r="D93">
            <v>2142</v>
          </cell>
          <cell r="E93">
            <v>7.82</v>
          </cell>
          <cell r="F93">
            <v>16750.440000000002</v>
          </cell>
          <cell r="G93">
            <v>160.69999999999999</v>
          </cell>
          <cell r="H93">
            <v>344219.39999999997</v>
          </cell>
          <cell r="I93">
            <v>20.549872122762142</v>
          </cell>
          <cell r="J93">
            <v>327468.95999999996</v>
          </cell>
          <cell r="M93" t="str">
            <v>Калининский</v>
          </cell>
        </row>
        <row r="94">
          <cell r="A94">
            <v>2</v>
          </cell>
          <cell r="B94" t="str">
            <v>Битум вязкий -66 км</v>
          </cell>
          <cell r="C94" t="str">
            <v>т</v>
          </cell>
          <cell r="D94">
            <v>0</v>
          </cell>
          <cell r="F94">
            <v>0</v>
          </cell>
          <cell r="G94">
            <v>121.72800000000001</v>
          </cell>
          <cell r="H94">
            <v>0</v>
          </cell>
          <cell r="I94" t="e">
            <v>#DIV/0!</v>
          </cell>
          <cell r="J94">
            <v>0</v>
          </cell>
          <cell r="M94" t="str">
            <v>Калининский</v>
          </cell>
        </row>
        <row r="95">
          <cell r="A95">
            <v>3</v>
          </cell>
          <cell r="B95" t="str">
            <v>Битум жидкий-66 км</v>
          </cell>
          <cell r="C95" t="str">
            <v>т</v>
          </cell>
          <cell r="D95">
            <v>0</v>
          </cell>
          <cell r="F95">
            <v>0</v>
          </cell>
          <cell r="G95">
            <v>121.72800000000001</v>
          </cell>
          <cell r="H95">
            <v>0</v>
          </cell>
          <cell r="I95" t="e">
            <v>#DIV/0!</v>
          </cell>
          <cell r="J95">
            <v>0</v>
          </cell>
          <cell r="M95" t="str">
            <v>Калининский</v>
          </cell>
        </row>
        <row r="96">
          <cell r="A96">
            <v>4</v>
          </cell>
          <cell r="B96" t="str">
            <v>М/з а/ бетонная смесь -26 км</v>
          </cell>
          <cell r="C96" t="str">
            <v>т</v>
          </cell>
          <cell r="D96">
            <v>3034</v>
          </cell>
          <cell r="E96">
            <v>2.2000000000000002</v>
          </cell>
          <cell r="F96">
            <v>6674.8</v>
          </cell>
          <cell r="G96">
            <v>31.2</v>
          </cell>
          <cell r="H96">
            <v>94660.800000000003</v>
          </cell>
          <cell r="I96">
            <v>14.181818181818182</v>
          </cell>
          <cell r="J96">
            <v>87986</v>
          </cell>
          <cell r="M96" t="str">
            <v>Калининский</v>
          </cell>
        </row>
        <row r="97">
          <cell r="A97">
            <v>5</v>
          </cell>
          <cell r="B97" t="str">
            <v>Черный щебень-26 км</v>
          </cell>
          <cell r="C97" t="str">
            <v>т</v>
          </cell>
          <cell r="D97">
            <v>1255</v>
          </cell>
          <cell r="E97">
            <v>2.2000000000000002</v>
          </cell>
          <cell r="F97">
            <v>2761</v>
          </cell>
          <cell r="G97">
            <v>31.2</v>
          </cell>
          <cell r="H97">
            <v>39156</v>
          </cell>
          <cell r="I97">
            <v>14.181818181818182</v>
          </cell>
          <cell r="J97">
            <v>36395</v>
          </cell>
          <cell r="M97" t="str">
            <v>Калининский</v>
          </cell>
        </row>
        <row r="98">
          <cell r="A98">
            <v>6</v>
          </cell>
          <cell r="C98" t="str">
            <v>т</v>
          </cell>
          <cell r="H98">
            <v>0</v>
          </cell>
          <cell r="I98" t="e">
            <v>#DIV/0!</v>
          </cell>
          <cell r="J98">
            <v>0</v>
          </cell>
          <cell r="M98" t="str">
            <v>Калининский</v>
          </cell>
        </row>
        <row r="99">
          <cell r="A99">
            <v>7</v>
          </cell>
          <cell r="C99" t="str">
            <v>т</v>
          </cell>
          <cell r="F99">
            <v>0</v>
          </cell>
          <cell r="H99">
            <v>0</v>
          </cell>
          <cell r="I99" t="e">
            <v>#DIV/0!</v>
          </cell>
          <cell r="J99">
            <v>0</v>
          </cell>
          <cell r="M99" t="str">
            <v>Калининский</v>
          </cell>
        </row>
        <row r="100">
          <cell r="A100">
            <v>8</v>
          </cell>
          <cell r="C100" t="str">
            <v>т</v>
          </cell>
          <cell r="F100">
            <v>0</v>
          </cell>
          <cell r="H100">
            <v>0</v>
          </cell>
          <cell r="I100" t="e">
            <v>#DIV/0!</v>
          </cell>
          <cell r="J100">
            <v>0</v>
          </cell>
          <cell r="M100" t="str">
            <v>Калининский</v>
          </cell>
        </row>
        <row r="101">
          <cell r="A101">
            <v>9</v>
          </cell>
          <cell r="C101" t="str">
            <v>т</v>
          </cell>
          <cell r="F101">
            <v>0</v>
          </cell>
          <cell r="H101">
            <v>0</v>
          </cell>
          <cell r="I101" t="e">
            <v>#DIV/0!</v>
          </cell>
          <cell r="J101">
            <v>0</v>
          </cell>
          <cell r="M101" t="str">
            <v>Калининский</v>
          </cell>
        </row>
        <row r="102">
          <cell r="A102">
            <v>10</v>
          </cell>
          <cell r="C102" t="str">
            <v>т</v>
          </cell>
          <cell r="F102">
            <v>0</v>
          </cell>
          <cell r="H102">
            <v>0</v>
          </cell>
          <cell r="I102" t="e">
            <v>#DIV/0!</v>
          </cell>
          <cell r="J102">
            <v>0</v>
          </cell>
          <cell r="M102" t="str">
            <v>Калининский</v>
          </cell>
        </row>
        <row r="103">
          <cell r="M103" t="str">
            <v>Калининский</v>
          </cell>
        </row>
        <row r="104">
          <cell r="B104" t="str">
            <v>Заготовительно-складские расходы</v>
          </cell>
          <cell r="F104">
            <v>0</v>
          </cell>
          <cell r="H104">
            <v>0</v>
          </cell>
          <cell r="I104" t="e">
            <v>#DIV/0!</v>
          </cell>
          <cell r="J104">
            <v>0</v>
          </cell>
          <cell r="M104" t="str">
            <v>Калининский</v>
          </cell>
        </row>
        <row r="105">
          <cell r="A105">
            <v>1</v>
          </cell>
          <cell r="B105" t="str">
            <v>ПГС</v>
          </cell>
          <cell r="C105" t="str">
            <v>руб</v>
          </cell>
          <cell r="E105">
            <v>19011.440000000002</v>
          </cell>
          <cell r="F105">
            <v>0</v>
          </cell>
          <cell r="H105">
            <v>0</v>
          </cell>
          <cell r="I105" t="e">
            <v>#DIV/0!</v>
          </cell>
          <cell r="J105">
            <v>0</v>
          </cell>
          <cell r="M105" t="str">
            <v>Калининский</v>
          </cell>
        </row>
        <row r="106">
          <cell r="A106">
            <v>2</v>
          </cell>
          <cell r="B106" t="str">
            <v xml:space="preserve">Битум вязкий </v>
          </cell>
          <cell r="C106" t="str">
            <v>руб</v>
          </cell>
          <cell r="E106">
            <v>2964.6</v>
          </cell>
          <cell r="F106">
            <v>0</v>
          </cell>
          <cell r="H106">
            <v>0</v>
          </cell>
          <cell r="I106" t="e">
            <v>#DIV/0!</v>
          </cell>
          <cell r="J106">
            <v>0</v>
          </cell>
          <cell r="M106" t="str">
            <v>Калининский</v>
          </cell>
        </row>
        <row r="107">
          <cell r="A107">
            <v>3</v>
          </cell>
          <cell r="B107" t="str">
            <v>Битум жидкий</v>
          </cell>
          <cell r="C107" t="str">
            <v>руб</v>
          </cell>
          <cell r="E107">
            <v>1394.1399999999999</v>
          </cell>
          <cell r="F107">
            <v>0</v>
          </cell>
          <cell r="H107">
            <v>0</v>
          </cell>
          <cell r="I107" t="e">
            <v>#DIV/0!</v>
          </cell>
          <cell r="J107">
            <v>0</v>
          </cell>
          <cell r="M107" t="str">
            <v>Калининский</v>
          </cell>
        </row>
        <row r="108">
          <cell r="A108">
            <v>4</v>
          </cell>
          <cell r="B108" t="str">
            <v>М/з а/ бетонная смесь</v>
          </cell>
          <cell r="C108" t="str">
            <v>руб</v>
          </cell>
          <cell r="E108">
            <v>51699.360000000001</v>
          </cell>
          <cell r="F108">
            <v>0</v>
          </cell>
          <cell r="H108">
            <v>0</v>
          </cell>
          <cell r="I108" t="e">
            <v>#DIV/0!</v>
          </cell>
          <cell r="J108">
            <v>0</v>
          </cell>
          <cell r="M108" t="str">
            <v>Калининский</v>
          </cell>
        </row>
        <row r="109">
          <cell r="A109">
            <v>5</v>
          </cell>
          <cell r="B109" t="str">
            <v>черный щебень</v>
          </cell>
          <cell r="C109" t="str">
            <v>руб</v>
          </cell>
          <cell r="E109">
            <v>18825</v>
          </cell>
          <cell r="F109">
            <v>0</v>
          </cell>
          <cell r="H109">
            <v>0</v>
          </cell>
          <cell r="I109" t="e">
            <v>#DIV/0!</v>
          </cell>
          <cell r="J109">
            <v>0</v>
          </cell>
          <cell r="M109" t="str">
            <v>Калининский</v>
          </cell>
        </row>
        <row r="110">
          <cell r="A110">
            <v>6</v>
          </cell>
          <cell r="B110" t="str">
            <v>Прочие материалы</v>
          </cell>
          <cell r="C110" t="str">
            <v>руб</v>
          </cell>
          <cell r="E110">
            <v>66</v>
          </cell>
          <cell r="F110">
            <v>0</v>
          </cell>
          <cell r="H110">
            <v>0</v>
          </cell>
          <cell r="I110" t="e">
            <v>#DIV/0!</v>
          </cell>
          <cell r="J110">
            <v>0</v>
          </cell>
          <cell r="M110" t="str">
            <v>Калининский</v>
          </cell>
        </row>
        <row r="111">
          <cell r="A111">
            <v>7</v>
          </cell>
          <cell r="B111">
            <v>0</v>
          </cell>
          <cell r="C111" t="str">
            <v>руб</v>
          </cell>
          <cell r="E111">
            <v>0</v>
          </cell>
          <cell r="F111">
            <v>0</v>
          </cell>
          <cell r="H111">
            <v>0</v>
          </cell>
          <cell r="I111" t="e">
            <v>#DIV/0!</v>
          </cell>
          <cell r="J111">
            <v>0</v>
          </cell>
          <cell r="M111" t="str">
            <v>Калининский</v>
          </cell>
        </row>
        <row r="112">
          <cell r="A112">
            <v>8</v>
          </cell>
          <cell r="B112">
            <v>0</v>
          </cell>
          <cell r="C112" t="str">
            <v>руб</v>
          </cell>
          <cell r="E112">
            <v>0</v>
          </cell>
          <cell r="F112">
            <v>0</v>
          </cell>
          <cell r="H112">
            <v>0</v>
          </cell>
          <cell r="I112" t="e">
            <v>#DIV/0!</v>
          </cell>
          <cell r="J112">
            <v>0</v>
          </cell>
          <cell r="M112" t="str">
            <v>Калининский</v>
          </cell>
        </row>
        <row r="113">
          <cell r="A113">
            <v>9</v>
          </cell>
          <cell r="B113">
            <v>0</v>
          </cell>
          <cell r="C113" t="str">
            <v>руб</v>
          </cell>
          <cell r="E113">
            <v>0</v>
          </cell>
          <cell r="F113">
            <v>0</v>
          </cell>
          <cell r="H113">
            <v>0</v>
          </cell>
          <cell r="I113" t="e">
            <v>#DIV/0!</v>
          </cell>
          <cell r="J113">
            <v>0</v>
          </cell>
          <cell r="M113" t="str">
            <v>Калининский</v>
          </cell>
        </row>
        <row r="114">
          <cell r="A114">
            <v>10</v>
          </cell>
          <cell r="B114">
            <v>0</v>
          </cell>
          <cell r="C114" t="str">
            <v>руб</v>
          </cell>
          <cell r="E114">
            <v>0</v>
          </cell>
          <cell r="F114">
            <v>0</v>
          </cell>
          <cell r="H114">
            <v>0</v>
          </cell>
          <cell r="I114" t="e">
            <v>#DIV/0!</v>
          </cell>
          <cell r="J114">
            <v>0</v>
          </cell>
          <cell r="M114" t="str">
            <v>Калининский</v>
          </cell>
        </row>
        <row r="115">
          <cell r="M115" t="str">
            <v>Калининский</v>
          </cell>
        </row>
        <row r="116">
          <cell r="M116" t="str">
            <v>Калининский</v>
          </cell>
        </row>
        <row r="117">
          <cell r="B117" t="str">
            <v>Составил:______________________________</v>
          </cell>
          <cell r="M117" t="str">
            <v>Калининский</v>
          </cell>
        </row>
        <row r="118">
          <cell r="M118" t="str">
            <v>Калининский</v>
          </cell>
        </row>
        <row r="119">
          <cell r="B119" t="str">
            <v>Начальник ТДО: ________________________</v>
          </cell>
        </row>
        <row r="120">
          <cell r="B120" t="str">
            <v>Район: Калининский \  Нововеличковская-Долиновское ;  км: 10+170-12+560 \ Поверхностная обработка (II вариант)</v>
          </cell>
          <cell r="K120">
            <v>98</v>
          </cell>
          <cell r="M120" t="str">
            <v>Калининский</v>
          </cell>
        </row>
        <row r="121">
          <cell r="A121" t="str">
            <v>98-1.1.</v>
          </cell>
          <cell r="B121" t="str">
            <v>Фонд заработной платы</v>
          </cell>
          <cell r="D121">
            <v>1098</v>
          </cell>
          <cell r="F121">
            <v>669</v>
          </cell>
          <cell r="H121">
            <v>14314.61</v>
          </cell>
          <cell r="I121">
            <v>21.397025411061286</v>
          </cell>
          <cell r="J121">
            <v>13645.61</v>
          </cell>
          <cell r="K121">
            <v>98</v>
          </cell>
          <cell r="L121" t="str">
            <v>1.1.</v>
          </cell>
          <cell r="M121" t="str">
            <v>Калининский</v>
          </cell>
        </row>
        <row r="122">
          <cell r="A122" t="str">
            <v>98-1.1.1.</v>
          </cell>
          <cell r="B122" t="str">
            <v>Основные рабочие</v>
          </cell>
          <cell r="C122" t="str">
            <v>ч/ч</v>
          </cell>
          <cell r="D122">
            <v>695</v>
          </cell>
          <cell r="E122">
            <v>0.55539568345323742</v>
          </cell>
          <cell r="F122">
            <v>386</v>
          </cell>
          <cell r="G122">
            <v>12.38</v>
          </cell>
          <cell r="H122">
            <v>8604.1</v>
          </cell>
          <cell r="I122">
            <v>22.29041450777202</v>
          </cell>
          <cell r="J122">
            <v>8218.1</v>
          </cell>
          <cell r="K122">
            <v>98</v>
          </cell>
          <cell r="L122" t="str">
            <v>1.1.1.</v>
          </cell>
          <cell r="M122" t="str">
            <v>Калининский</v>
          </cell>
        </row>
        <row r="123">
          <cell r="A123" t="str">
            <v>98-1.1.2.</v>
          </cell>
          <cell r="B123" t="str">
            <v>Машинисты</v>
          </cell>
          <cell r="C123" t="str">
            <v>ч/ч</v>
          </cell>
          <cell r="D123">
            <v>403</v>
          </cell>
          <cell r="E123">
            <v>0.70199999999999996</v>
          </cell>
          <cell r="F123">
            <v>283</v>
          </cell>
          <cell r="G123">
            <v>14.17</v>
          </cell>
          <cell r="H123">
            <v>5710.51</v>
          </cell>
          <cell r="I123">
            <v>20.178480565371025</v>
          </cell>
          <cell r="J123">
            <v>5427.51</v>
          </cell>
          <cell r="K123">
            <v>98</v>
          </cell>
          <cell r="L123" t="str">
            <v>1.1.2.</v>
          </cell>
          <cell r="M123" t="str">
            <v>Калининский</v>
          </cell>
        </row>
        <row r="124">
          <cell r="M124" t="str">
            <v>Калининский</v>
          </cell>
        </row>
        <row r="125">
          <cell r="A125" t="str">
            <v>98-1.2.</v>
          </cell>
          <cell r="B125" t="str">
            <v>Технические ресурсы по нормам СНиП (без зарботной платы машиниста)</v>
          </cell>
          <cell r="F125">
            <v>681</v>
          </cell>
          <cell r="H125">
            <v>32591.996979999996</v>
          </cell>
          <cell r="I125">
            <v>47.859026402349478</v>
          </cell>
          <cell r="J125">
            <v>31910.891900000002</v>
          </cell>
          <cell r="K125">
            <v>98</v>
          </cell>
          <cell r="L125" t="str">
            <v>1.2.</v>
          </cell>
          <cell r="M125" t="str">
            <v>Калининский</v>
          </cell>
        </row>
        <row r="126">
          <cell r="A126">
            <v>1</v>
          </cell>
          <cell r="B126" t="str">
            <v>Автогрейдер средний</v>
          </cell>
          <cell r="C126" t="str">
            <v>м/ч</v>
          </cell>
          <cell r="D126">
            <v>16.850000000000001</v>
          </cell>
          <cell r="E126">
            <v>2.48</v>
          </cell>
          <cell r="F126">
            <v>41.788000000000004</v>
          </cell>
          <cell r="G126">
            <v>125.03</v>
          </cell>
          <cell r="H126">
            <v>2106.7555000000002</v>
          </cell>
          <cell r="I126">
            <v>50.41532258064516</v>
          </cell>
          <cell r="J126">
            <v>2064.9675000000002</v>
          </cell>
          <cell r="M126" t="str">
            <v>Калининский</v>
          </cell>
        </row>
        <row r="127">
          <cell r="A127">
            <v>2</v>
          </cell>
          <cell r="B127" t="str">
            <v>Щебнераспределитель</v>
          </cell>
          <cell r="C127" t="str">
            <v>м/ч</v>
          </cell>
          <cell r="D127">
            <v>12.6</v>
          </cell>
          <cell r="E127">
            <v>4.21</v>
          </cell>
          <cell r="F127">
            <v>53.045999999999999</v>
          </cell>
          <cell r="G127">
            <v>86.93</v>
          </cell>
          <cell r="H127">
            <v>1095.318</v>
          </cell>
          <cell r="I127">
            <v>20.648456057007127</v>
          </cell>
          <cell r="J127">
            <v>1042.2719999999999</v>
          </cell>
          <cell r="M127" t="str">
            <v>Калининский</v>
          </cell>
        </row>
        <row r="128">
          <cell r="A128">
            <v>3</v>
          </cell>
          <cell r="B128" t="str">
            <v>Автогудронатор 3500л</v>
          </cell>
          <cell r="C128" t="str">
            <v>м/ч</v>
          </cell>
          <cell r="D128">
            <v>7.3079999999999998</v>
          </cell>
          <cell r="E128">
            <v>5.99</v>
          </cell>
          <cell r="F128">
            <v>43.774920000000002</v>
          </cell>
          <cell r="G128">
            <v>77.02</v>
          </cell>
          <cell r="H128">
            <v>562.8621599999999</v>
          </cell>
          <cell r="I128">
            <v>12.858096828046742</v>
          </cell>
          <cell r="J128">
            <v>519.08723999999995</v>
          </cell>
          <cell r="M128" t="str">
            <v>Калининский</v>
          </cell>
        </row>
        <row r="129">
          <cell r="A129">
            <v>4</v>
          </cell>
          <cell r="B129" t="str">
            <v>Машина поливомоечная</v>
          </cell>
          <cell r="C129" t="str">
            <v>м/ч</v>
          </cell>
          <cell r="D129">
            <v>5.5919999999999996</v>
          </cell>
          <cell r="E129">
            <v>6.16</v>
          </cell>
          <cell r="F129">
            <v>34.446719999999999</v>
          </cell>
          <cell r="G129">
            <v>197.6</v>
          </cell>
          <cell r="H129">
            <v>1104.9792</v>
          </cell>
          <cell r="I129">
            <v>32.077922077922075</v>
          </cell>
          <cell r="J129">
            <v>1070.5324800000001</v>
          </cell>
          <cell r="M129" t="str">
            <v>Калининский</v>
          </cell>
        </row>
        <row r="130">
          <cell r="A130">
            <v>5</v>
          </cell>
          <cell r="B130" t="str">
            <v xml:space="preserve">Каток  самоходный гладкий 5 тн </v>
          </cell>
          <cell r="C130" t="str">
            <v>м/ч</v>
          </cell>
          <cell r="D130">
            <v>96.155999999999992</v>
          </cell>
          <cell r="E130">
            <v>1.81</v>
          </cell>
          <cell r="F130">
            <v>174.04236</v>
          </cell>
          <cell r="G130">
            <v>80.16</v>
          </cell>
          <cell r="H130">
            <v>7707.864959999999</v>
          </cell>
          <cell r="I130">
            <v>44.28729281767955</v>
          </cell>
          <cell r="J130">
            <v>7533.8225999999986</v>
          </cell>
          <cell r="M130" t="str">
            <v>Калининский</v>
          </cell>
        </row>
        <row r="131">
          <cell r="A131">
            <v>6</v>
          </cell>
          <cell r="B131" t="str">
            <v xml:space="preserve">Каток вальцевый  10 тн </v>
          </cell>
          <cell r="C131" t="str">
            <v>м/ч</v>
          </cell>
          <cell r="D131">
            <v>126.96</v>
          </cell>
          <cell r="E131">
            <v>1.69</v>
          </cell>
          <cell r="F131">
            <v>214</v>
          </cell>
          <cell r="G131">
            <v>117.14</v>
          </cell>
          <cell r="H131">
            <v>14872.0944</v>
          </cell>
          <cell r="I131">
            <v>69.49576822429907</v>
          </cell>
          <cell r="J131">
            <v>14658.0944</v>
          </cell>
          <cell r="M131" t="str">
            <v>Калининский</v>
          </cell>
        </row>
        <row r="132">
          <cell r="A132">
            <v>7</v>
          </cell>
          <cell r="B132" t="str">
            <v>Укладчик а/бетона</v>
          </cell>
          <cell r="C132" t="str">
            <v>м/ч</v>
          </cell>
          <cell r="D132">
            <v>26.795999999999996</v>
          </cell>
          <cell r="E132">
            <v>2.29</v>
          </cell>
          <cell r="F132">
            <v>61.362839999999991</v>
          </cell>
          <cell r="G132">
            <v>148.81</v>
          </cell>
          <cell r="H132">
            <v>3987.5127599999996</v>
          </cell>
          <cell r="I132">
            <v>64.982532751091711</v>
          </cell>
          <cell r="J132">
            <v>3926.1499199999998</v>
          </cell>
          <cell r="M132" t="str">
            <v>Калининский</v>
          </cell>
        </row>
        <row r="133">
          <cell r="A133">
            <v>8</v>
          </cell>
          <cell r="B133" t="str">
            <v>Пневмокаток 18тн</v>
          </cell>
          <cell r="C133" t="str">
            <v>м/ч</v>
          </cell>
          <cell r="D133">
            <v>2.5920000000000001</v>
          </cell>
          <cell r="E133">
            <v>4.88</v>
          </cell>
          <cell r="F133">
            <v>12.648960000000001</v>
          </cell>
          <cell r="G133">
            <v>94.73</v>
          </cell>
          <cell r="H133">
            <v>245.54016000000001</v>
          </cell>
          <cell r="I133">
            <v>19.41188524590164</v>
          </cell>
          <cell r="J133">
            <v>232.89120000000003</v>
          </cell>
          <cell r="M133" t="str">
            <v>Калининский</v>
          </cell>
        </row>
        <row r="134">
          <cell r="A134">
            <v>9</v>
          </cell>
          <cell r="B134" t="str">
            <v>Автогудронатор 7000 л</v>
          </cell>
          <cell r="C134" t="str">
            <v>м/ч</v>
          </cell>
          <cell r="D134">
            <v>3.6239999999999997</v>
          </cell>
          <cell r="E134">
            <v>7.22</v>
          </cell>
          <cell r="F134">
            <v>26.165279999999996</v>
          </cell>
          <cell r="G134">
            <v>141.41</v>
          </cell>
          <cell r="H134">
            <v>512.46983999999998</v>
          </cell>
          <cell r="I134">
            <v>19.585872576177287</v>
          </cell>
          <cell r="J134">
            <v>486.30455999999998</v>
          </cell>
          <cell r="M134" t="str">
            <v>Калининский</v>
          </cell>
        </row>
        <row r="135">
          <cell r="A135">
            <v>10</v>
          </cell>
          <cell r="B135" t="str">
            <v>Прочие машины</v>
          </cell>
          <cell r="C135" t="str">
            <v>руб</v>
          </cell>
          <cell r="D135">
            <v>19.829999999999998</v>
          </cell>
          <cell r="E135">
            <v>1</v>
          </cell>
          <cell r="F135">
            <v>19.829999999999998</v>
          </cell>
          <cell r="G135">
            <v>20</v>
          </cell>
          <cell r="H135">
            <v>396.59999999999997</v>
          </cell>
          <cell r="I135">
            <v>20</v>
          </cell>
          <cell r="J135">
            <v>376.77</v>
          </cell>
          <cell r="M135" t="str">
            <v>Калининский</v>
          </cell>
        </row>
        <row r="136">
          <cell r="M136" t="str">
            <v>Калининский</v>
          </cell>
        </row>
        <row r="137">
          <cell r="A137" t="str">
            <v>98-1.3.</v>
          </cell>
          <cell r="B137" t="str">
            <v>Материалы</v>
          </cell>
          <cell r="F137">
            <v>22577.908100000001</v>
          </cell>
          <cell r="H137">
            <v>696488.94050000003</v>
          </cell>
          <cell r="I137">
            <v>30.848249422186285</v>
          </cell>
          <cell r="J137">
            <v>673911.03240000003</v>
          </cell>
          <cell r="K137">
            <v>98</v>
          </cell>
          <cell r="L137" t="str">
            <v>1.3.</v>
          </cell>
          <cell r="M137" t="str">
            <v>Калининский</v>
          </cell>
        </row>
        <row r="138">
          <cell r="B138" t="str">
            <v>Материальные ресурсы по нормам СНиП</v>
          </cell>
          <cell r="F138">
            <v>15657.734700000001</v>
          </cell>
          <cell r="H138">
            <v>570359.90049999999</v>
          </cell>
          <cell r="I138">
            <v>36.426718898232444</v>
          </cell>
          <cell r="J138">
            <v>554702.16579999996</v>
          </cell>
          <cell r="M138" t="str">
            <v>Калининский</v>
          </cell>
        </row>
        <row r="139">
          <cell r="A139">
            <v>1</v>
          </cell>
          <cell r="B139" t="str">
            <v>ПГС</v>
          </cell>
          <cell r="C139" t="str">
            <v>м3</v>
          </cell>
          <cell r="D139">
            <v>357</v>
          </cell>
          <cell r="E139">
            <v>1.9</v>
          </cell>
          <cell r="F139">
            <v>678.3</v>
          </cell>
          <cell r="G139">
            <v>40.57</v>
          </cell>
          <cell r="H139">
            <v>14483.49</v>
          </cell>
          <cell r="I139">
            <v>21.352631578947371</v>
          </cell>
          <cell r="J139">
            <v>13805.19</v>
          </cell>
          <cell r="M139" t="str">
            <v>Калининский</v>
          </cell>
        </row>
        <row r="140">
          <cell r="A140">
            <v>2</v>
          </cell>
          <cell r="B140" t="str">
            <v xml:space="preserve">Битум вязкий </v>
          </cell>
          <cell r="C140" t="str">
            <v>т</v>
          </cell>
          <cell r="D140">
            <v>10.34</v>
          </cell>
          <cell r="E140">
            <v>65.88</v>
          </cell>
          <cell r="F140">
            <v>681.19919999999991</v>
          </cell>
          <cell r="G140">
            <v>3528.4</v>
          </cell>
          <cell r="H140">
            <v>36483.656000000003</v>
          </cell>
          <cell r="I140">
            <v>53.55798421372193</v>
          </cell>
          <cell r="J140">
            <v>35802.4568</v>
          </cell>
          <cell r="M140" t="str">
            <v>Калининский</v>
          </cell>
        </row>
        <row r="141">
          <cell r="A141">
            <v>3</v>
          </cell>
          <cell r="B141" t="str">
            <v>Битум жидкий</v>
          </cell>
          <cell r="C141" t="str">
            <v>т</v>
          </cell>
          <cell r="D141">
            <v>5.15</v>
          </cell>
          <cell r="E141">
            <v>63.37</v>
          </cell>
          <cell r="F141">
            <v>326.35550000000001</v>
          </cell>
          <cell r="G141">
            <v>3493.63</v>
          </cell>
          <cell r="H141">
            <v>17992.194500000001</v>
          </cell>
          <cell r="I141">
            <v>55.130661196149603</v>
          </cell>
          <cell r="J141">
            <v>17665.839</v>
          </cell>
          <cell r="M141" t="str">
            <v>Калининский</v>
          </cell>
        </row>
        <row r="142">
          <cell r="A142">
            <v>4</v>
          </cell>
          <cell r="B142" t="str">
            <v>М/з а/ бетонная смесь</v>
          </cell>
          <cell r="C142" t="str">
            <v>т</v>
          </cell>
          <cell r="D142">
            <v>692</v>
          </cell>
          <cell r="E142">
            <v>14.84</v>
          </cell>
          <cell r="F142">
            <v>10269.280000000001</v>
          </cell>
          <cell r="G142">
            <v>569.5</v>
          </cell>
          <cell r="H142">
            <v>394094</v>
          </cell>
          <cell r="I142">
            <v>38.376010781671155</v>
          </cell>
          <cell r="J142">
            <v>383824.72</v>
          </cell>
          <cell r="M142" t="str">
            <v>Калининский</v>
          </cell>
        </row>
        <row r="143">
          <cell r="A143">
            <v>5</v>
          </cell>
          <cell r="B143" t="str">
            <v>черный щебень</v>
          </cell>
          <cell r="C143" t="str">
            <v>т</v>
          </cell>
          <cell r="D143">
            <v>287</v>
          </cell>
          <cell r="E143">
            <v>12.8</v>
          </cell>
          <cell r="F143">
            <v>3673.6000000000004</v>
          </cell>
          <cell r="G143">
            <v>372.88</v>
          </cell>
          <cell r="H143">
            <v>107016.56</v>
          </cell>
          <cell r="I143">
            <v>29.131249999999998</v>
          </cell>
          <cell r="J143">
            <v>103342.95999999999</v>
          </cell>
          <cell r="M143" t="str">
            <v>Калининский</v>
          </cell>
        </row>
        <row r="144">
          <cell r="A144">
            <v>6</v>
          </cell>
          <cell r="B144" t="str">
            <v>Прочие материалы</v>
          </cell>
          <cell r="C144" t="str">
            <v>руб.</v>
          </cell>
          <cell r="D144">
            <v>29</v>
          </cell>
          <cell r="E144">
            <v>1</v>
          </cell>
          <cell r="F144">
            <v>29</v>
          </cell>
          <cell r="G144">
            <v>10</v>
          </cell>
          <cell r="H144">
            <v>290</v>
          </cell>
          <cell r="I144">
            <v>10</v>
          </cell>
          <cell r="J144">
            <v>261</v>
          </cell>
          <cell r="M144" t="str">
            <v>Калининский</v>
          </cell>
        </row>
        <row r="145">
          <cell r="A145">
            <v>7</v>
          </cell>
          <cell r="F145">
            <v>0</v>
          </cell>
          <cell r="H145">
            <v>0</v>
          </cell>
          <cell r="I145" t="e">
            <v>#DIV/0!</v>
          </cell>
          <cell r="J145">
            <v>0</v>
          </cell>
          <cell r="M145" t="str">
            <v>Калининский</v>
          </cell>
        </row>
        <row r="146">
          <cell r="A146">
            <v>8</v>
          </cell>
          <cell r="F146">
            <v>0</v>
          </cell>
          <cell r="H146">
            <v>0</v>
          </cell>
          <cell r="I146" t="e">
            <v>#DIV/0!</v>
          </cell>
          <cell r="J146">
            <v>0</v>
          </cell>
          <cell r="M146" t="str">
            <v>Калининский</v>
          </cell>
        </row>
        <row r="147">
          <cell r="A147">
            <v>9</v>
          </cell>
          <cell r="F147">
            <v>0</v>
          </cell>
          <cell r="H147">
            <v>0</v>
          </cell>
          <cell r="I147" t="e">
            <v>#DIV/0!</v>
          </cell>
          <cell r="J147">
            <v>0</v>
          </cell>
          <cell r="M147" t="str">
            <v>Калининский</v>
          </cell>
        </row>
        <row r="148">
          <cell r="A148">
            <v>10</v>
          </cell>
          <cell r="F148">
            <v>0</v>
          </cell>
          <cell r="H148">
            <v>0</v>
          </cell>
          <cell r="I148" t="e">
            <v>#DIV/0!</v>
          </cell>
          <cell r="J148">
            <v>0</v>
          </cell>
          <cell r="M148" t="str">
            <v>Калининский</v>
          </cell>
        </row>
        <row r="149">
          <cell r="M149" t="str">
            <v>Калининский</v>
          </cell>
        </row>
        <row r="150">
          <cell r="B150" t="str">
            <v>Транспортировка материалов, т (вид транспорта, км)</v>
          </cell>
          <cell r="F150">
            <v>6809</v>
          </cell>
          <cell r="H150">
            <v>126129.04</v>
          </cell>
          <cell r="I150">
            <v>18.523871346746951</v>
          </cell>
          <cell r="J150">
            <v>119320.04</v>
          </cell>
          <cell r="M150" t="str">
            <v>Калининский</v>
          </cell>
        </row>
        <row r="151">
          <cell r="A151">
            <v>1</v>
          </cell>
          <cell r="B151" t="str">
            <v>ПГС - 159 км</v>
          </cell>
          <cell r="C151" t="str">
            <v>т</v>
          </cell>
          <cell r="D151">
            <v>643</v>
          </cell>
          <cell r="E151">
            <v>7.59</v>
          </cell>
          <cell r="F151">
            <v>4880.37</v>
          </cell>
          <cell r="G151">
            <v>155.84</v>
          </cell>
          <cell r="H151">
            <v>100205.12</v>
          </cell>
          <cell r="I151">
            <v>20.532279314888012</v>
          </cell>
          <cell r="J151">
            <v>95324.75</v>
          </cell>
          <cell r="M151" t="str">
            <v>Калининский</v>
          </cell>
        </row>
        <row r="152">
          <cell r="A152">
            <v>2</v>
          </cell>
          <cell r="B152" t="str">
            <v>Битум вязкий -62 км</v>
          </cell>
          <cell r="C152" t="str">
            <v>т</v>
          </cell>
          <cell r="F152">
            <v>0</v>
          </cell>
          <cell r="G152">
            <v>114.432</v>
          </cell>
          <cell r="H152">
            <v>0</v>
          </cell>
          <cell r="I152" t="e">
            <v>#DIV/0!</v>
          </cell>
          <cell r="J152">
            <v>0</v>
          </cell>
          <cell r="M152" t="str">
            <v>Калининский</v>
          </cell>
        </row>
        <row r="153">
          <cell r="A153">
            <v>3</v>
          </cell>
          <cell r="B153" t="str">
            <v>Битум жидкий-62 км</v>
          </cell>
          <cell r="C153" t="str">
            <v>т</v>
          </cell>
          <cell r="F153">
            <v>0</v>
          </cell>
          <cell r="G153">
            <v>114.432</v>
          </cell>
          <cell r="H153">
            <v>0</v>
          </cell>
          <cell r="I153" t="e">
            <v>#DIV/0!</v>
          </cell>
          <cell r="J153">
            <v>0</v>
          </cell>
          <cell r="M153" t="str">
            <v>Калининский</v>
          </cell>
        </row>
        <row r="154">
          <cell r="A154">
            <v>4</v>
          </cell>
          <cell r="B154" t="str">
            <v>М/з а/ бетонная смесь -22 км</v>
          </cell>
          <cell r="C154" t="str">
            <v>т</v>
          </cell>
          <cell r="D154">
            <v>692</v>
          </cell>
          <cell r="E154">
            <v>1.97</v>
          </cell>
          <cell r="F154">
            <v>1363.24</v>
          </cell>
          <cell r="G154">
            <v>26.48</v>
          </cell>
          <cell r="H154">
            <v>18324.16</v>
          </cell>
          <cell r="I154">
            <v>13.441624365482234</v>
          </cell>
          <cell r="J154">
            <v>16960.919999999998</v>
          </cell>
          <cell r="M154" t="str">
            <v>Калининский</v>
          </cell>
        </row>
        <row r="155">
          <cell r="A155">
            <v>5</v>
          </cell>
          <cell r="B155" t="str">
            <v>Черный щебень-22 км</v>
          </cell>
          <cell r="C155" t="str">
            <v>т</v>
          </cell>
          <cell r="D155">
            <v>287</v>
          </cell>
          <cell r="E155">
            <v>1.97</v>
          </cell>
          <cell r="F155">
            <v>565.39</v>
          </cell>
          <cell r="G155">
            <v>26.48</v>
          </cell>
          <cell r="H155">
            <v>7599.76</v>
          </cell>
          <cell r="I155">
            <v>13.441624365482234</v>
          </cell>
          <cell r="J155">
            <v>7034.37</v>
          </cell>
          <cell r="M155" t="str">
            <v>Калининский</v>
          </cell>
        </row>
        <row r="156">
          <cell r="A156">
            <v>6</v>
          </cell>
          <cell r="C156" t="str">
            <v>т</v>
          </cell>
          <cell r="H156">
            <v>0</v>
          </cell>
          <cell r="I156" t="e">
            <v>#DIV/0!</v>
          </cell>
          <cell r="J156">
            <v>0</v>
          </cell>
          <cell r="M156" t="str">
            <v>Калининский</v>
          </cell>
        </row>
        <row r="157">
          <cell r="A157">
            <v>7</v>
          </cell>
          <cell r="C157" t="str">
            <v>т</v>
          </cell>
          <cell r="F157">
            <v>0</v>
          </cell>
          <cell r="H157">
            <v>0</v>
          </cell>
          <cell r="I157" t="e">
            <v>#DIV/0!</v>
          </cell>
          <cell r="J157">
            <v>0</v>
          </cell>
          <cell r="M157" t="str">
            <v>Калининский</v>
          </cell>
        </row>
        <row r="158">
          <cell r="A158">
            <v>8</v>
          </cell>
          <cell r="C158" t="str">
            <v>т</v>
          </cell>
          <cell r="F158">
            <v>0</v>
          </cell>
          <cell r="H158">
            <v>0</v>
          </cell>
          <cell r="I158" t="e">
            <v>#DIV/0!</v>
          </cell>
          <cell r="J158">
            <v>0</v>
          </cell>
          <cell r="M158" t="str">
            <v>Калининский</v>
          </cell>
        </row>
        <row r="159">
          <cell r="A159">
            <v>9</v>
          </cell>
          <cell r="C159" t="str">
            <v>т</v>
          </cell>
          <cell r="F159">
            <v>0</v>
          </cell>
          <cell r="H159">
            <v>0</v>
          </cell>
          <cell r="I159" t="e">
            <v>#DIV/0!</v>
          </cell>
          <cell r="J159">
            <v>0</v>
          </cell>
          <cell r="M159" t="str">
            <v>Калининский</v>
          </cell>
        </row>
        <row r="160">
          <cell r="A160">
            <v>10</v>
          </cell>
          <cell r="C160" t="str">
            <v>т</v>
          </cell>
          <cell r="F160">
            <v>0</v>
          </cell>
          <cell r="H160">
            <v>0</v>
          </cell>
          <cell r="I160" t="e">
            <v>#DIV/0!</v>
          </cell>
          <cell r="J160">
            <v>0</v>
          </cell>
          <cell r="M160" t="str">
            <v>Калининский</v>
          </cell>
        </row>
        <row r="161">
          <cell r="M161" t="str">
            <v>Калининский</v>
          </cell>
        </row>
        <row r="162">
          <cell r="B162" t="str">
            <v>Заготовительно-складские расходы</v>
          </cell>
          <cell r="F162">
            <v>111.1734</v>
          </cell>
          <cell r="H162">
            <v>0</v>
          </cell>
          <cell r="I162">
            <v>0</v>
          </cell>
          <cell r="J162">
            <v>-111.1734</v>
          </cell>
          <cell r="M162" t="str">
            <v>Калининский</v>
          </cell>
        </row>
        <row r="163">
          <cell r="A163">
            <v>1</v>
          </cell>
          <cell r="B163" t="str">
            <v>ПГС</v>
          </cell>
          <cell r="C163" t="str">
            <v>руб</v>
          </cell>
          <cell r="D163">
            <v>0.02</v>
          </cell>
          <cell r="E163">
            <v>5558.67</v>
          </cell>
          <cell r="F163">
            <v>111.1734</v>
          </cell>
          <cell r="H163">
            <v>0</v>
          </cell>
          <cell r="I163">
            <v>0</v>
          </cell>
          <cell r="J163">
            <v>-111.1734</v>
          </cell>
          <cell r="M163" t="str">
            <v>Калининский</v>
          </cell>
        </row>
        <row r="164">
          <cell r="A164">
            <v>2</v>
          </cell>
          <cell r="B164" t="str">
            <v xml:space="preserve">Битум вязкий </v>
          </cell>
          <cell r="C164" t="str">
            <v>руб</v>
          </cell>
          <cell r="E164">
            <v>681.19919999999991</v>
          </cell>
          <cell r="F164">
            <v>0</v>
          </cell>
          <cell r="H164">
            <v>0</v>
          </cell>
          <cell r="I164" t="e">
            <v>#DIV/0!</v>
          </cell>
          <cell r="J164">
            <v>0</v>
          </cell>
          <cell r="M164" t="str">
            <v>Калининский</v>
          </cell>
        </row>
        <row r="165">
          <cell r="A165">
            <v>3</v>
          </cell>
          <cell r="B165" t="str">
            <v>Битум жидкий</v>
          </cell>
          <cell r="C165" t="str">
            <v>руб</v>
          </cell>
          <cell r="E165">
            <v>326.35550000000001</v>
          </cell>
          <cell r="F165">
            <v>0</v>
          </cell>
          <cell r="H165">
            <v>0</v>
          </cell>
          <cell r="I165" t="e">
            <v>#DIV/0!</v>
          </cell>
          <cell r="J165">
            <v>0</v>
          </cell>
          <cell r="M165" t="str">
            <v>Калининский</v>
          </cell>
        </row>
        <row r="166">
          <cell r="A166">
            <v>4</v>
          </cell>
          <cell r="B166" t="str">
            <v>М/з а/ бетонная смесь</v>
          </cell>
          <cell r="C166" t="str">
            <v>руб</v>
          </cell>
          <cell r="E166">
            <v>11632.52</v>
          </cell>
          <cell r="F166">
            <v>0</v>
          </cell>
          <cell r="H166">
            <v>0</v>
          </cell>
          <cell r="I166" t="e">
            <v>#DIV/0!</v>
          </cell>
          <cell r="J166">
            <v>0</v>
          </cell>
          <cell r="M166" t="str">
            <v>Калининский</v>
          </cell>
        </row>
        <row r="167">
          <cell r="A167">
            <v>5</v>
          </cell>
          <cell r="B167" t="str">
            <v>черный щебень</v>
          </cell>
          <cell r="C167" t="str">
            <v>руб</v>
          </cell>
          <cell r="E167">
            <v>4238.9900000000007</v>
          </cell>
          <cell r="F167">
            <v>0</v>
          </cell>
          <cell r="H167">
            <v>0</v>
          </cell>
          <cell r="I167" t="e">
            <v>#DIV/0!</v>
          </cell>
          <cell r="J167">
            <v>0</v>
          </cell>
          <cell r="M167" t="str">
            <v>Калининский</v>
          </cell>
        </row>
        <row r="168">
          <cell r="A168">
            <v>6</v>
          </cell>
          <cell r="B168" t="str">
            <v>Прочие материалы</v>
          </cell>
          <cell r="C168" t="str">
            <v>руб</v>
          </cell>
          <cell r="E168">
            <v>29</v>
          </cell>
          <cell r="F168">
            <v>0</v>
          </cell>
          <cell r="H168">
            <v>0</v>
          </cell>
          <cell r="I168" t="e">
            <v>#DIV/0!</v>
          </cell>
          <cell r="J168">
            <v>0</v>
          </cell>
          <cell r="M168" t="str">
            <v>Калининский</v>
          </cell>
        </row>
        <row r="169">
          <cell r="A169">
            <v>7</v>
          </cell>
          <cell r="B169">
            <v>0</v>
          </cell>
          <cell r="C169" t="str">
            <v>руб</v>
          </cell>
          <cell r="E169">
            <v>0</v>
          </cell>
          <cell r="F169">
            <v>0</v>
          </cell>
          <cell r="H169">
            <v>0</v>
          </cell>
          <cell r="I169" t="e">
            <v>#DIV/0!</v>
          </cell>
          <cell r="J169">
            <v>0</v>
          </cell>
          <cell r="M169" t="str">
            <v>Калининский</v>
          </cell>
        </row>
        <row r="170">
          <cell r="A170">
            <v>8</v>
          </cell>
          <cell r="B170">
            <v>0</v>
          </cell>
          <cell r="C170" t="str">
            <v>руб</v>
          </cell>
          <cell r="E170">
            <v>0</v>
          </cell>
          <cell r="F170">
            <v>0</v>
          </cell>
          <cell r="H170">
            <v>0</v>
          </cell>
          <cell r="I170" t="e">
            <v>#DIV/0!</v>
          </cell>
          <cell r="J170">
            <v>0</v>
          </cell>
          <cell r="M170" t="str">
            <v>Калининский</v>
          </cell>
        </row>
        <row r="171">
          <cell r="A171">
            <v>9</v>
          </cell>
          <cell r="B171">
            <v>0</v>
          </cell>
          <cell r="C171" t="str">
            <v>руб</v>
          </cell>
          <cell r="E171">
            <v>0</v>
          </cell>
          <cell r="F171">
            <v>0</v>
          </cell>
          <cell r="H171">
            <v>0</v>
          </cell>
          <cell r="I171" t="e">
            <v>#DIV/0!</v>
          </cell>
          <cell r="J171">
            <v>0</v>
          </cell>
          <cell r="M171" t="str">
            <v>Калининский</v>
          </cell>
        </row>
        <row r="172">
          <cell r="A172">
            <v>10</v>
          </cell>
          <cell r="B172">
            <v>0</v>
          </cell>
          <cell r="C172" t="str">
            <v>руб</v>
          </cell>
          <cell r="E172">
            <v>0</v>
          </cell>
          <cell r="F172">
            <v>0</v>
          </cell>
          <cell r="H172">
            <v>0</v>
          </cell>
          <cell r="I172" t="e">
            <v>#DIV/0!</v>
          </cell>
          <cell r="J172">
            <v>0</v>
          </cell>
          <cell r="M172" t="str">
            <v>Калининский</v>
          </cell>
        </row>
        <row r="173">
          <cell r="M173" t="str">
            <v>Калининский</v>
          </cell>
        </row>
        <row r="174">
          <cell r="M174" t="str">
            <v>Калининский</v>
          </cell>
        </row>
        <row r="175">
          <cell r="B175" t="str">
            <v>Составил:______________________________</v>
          </cell>
          <cell r="M175" t="str">
            <v>Калининский</v>
          </cell>
        </row>
        <row r="176">
          <cell r="M176" t="str">
            <v>Калининский</v>
          </cell>
        </row>
        <row r="177">
          <cell r="B177" t="str">
            <v>Начальник ТДО: ________________________</v>
          </cell>
        </row>
        <row r="178">
          <cell r="B178" t="str">
            <v>Район: Калининский \ Калининская - Новониколаевская ;  км: 17+800-22+100 ; 30+500-32+500 \ Поверхностная обработка (I вариант)</v>
          </cell>
          <cell r="K178">
            <v>99</v>
          </cell>
          <cell r="M178" t="str">
            <v>Калининский</v>
          </cell>
        </row>
        <row r="179">
          <cell r="A179" t="str">
            <v>99-1.1.</v>
          </cell>
          <cell r="B179" t="str">
            <v>Фонд заработной платы</v>
          </cell>
          <cell r="D179">
            <v>2742</v>
          </cell>
          <cell r="F179">
            <v>1643</v>
          </cell>
          <cell r="H179">
            <v>35099.676000000007</v>
          </cell>
          <cell r="I179">
            <v>21.363162507608038</v>
          </cell>
          <cell r="J179">
            <v>33456.676000000007</v>
          </cell>
          <cell r="K179">
            <v>99</v>
          </cell>
          <cell r="L179" t="str">
            <v>1.1.</v>
          </cell>
          <cell r="M179" t="str">
            <v>Калининский</v>
          </cell>
        </row>
        <row r="180">
          <cell r="A180" t="str">
            <v>99-1.1.1.</v>
          </cell>
          <cell r="B180" t="str">
            <v>Основные рабочие</v>
          </cell>
          <cell r="C180" t="str">
            <v>ч/ч</v>
          </cell>
          <cell r="D180">
            <v>1876</v>
          </cell>
          <cell r="E180">
            <v>0.55223880597014929</v>
          </cell>
          <cell r="F180">
            <v>1036</v>
          </cell>
          <cell r="G180">
            <v>12.201000000000002</v>
          </cell>
          <cell r="H180">
            <v>22889.076000000005</v>
          </cell>
          <cell r="I180">
            <v>22.093702702702707</v>
          </cell>
          <cell r="J180">
            <v>21853.076000000005</v>
          </cell>
          <cell r="K180">
            <v>99</v>
          </cell>
          <cell r="L180" t="str">
            <v>1.1.1.</v>
          </cell>
          <cell r="M180" t="str">
            <v>Калининский</v>
          </cell>
        </row>
        <row r="181">
          <cell r="A181" t="str">
            <v>99-1.1.2.</v>
          </cell>
          <cell r="B181" t="str">
            <v>Машинисты</v>
          </cell>
          <cell r="C181" t="str">
            <v>ч/ч</v>
          </cell>
          <cell r="D181">
            <v>866</v>
          </cell>
          <cell r="E181">
            <v>0.70099999999999996</v>
          </cell>
          <cell r="F181">
            <v>607</v>
          </cell>
          <cell r="G181">
            <v>14.100000000000003</v>
          </cell>
          <cell r="H181">
            <v>12210.600000000002</v>
          </cell>
          <cell r="I181">
            <v>20.116309719934105</v>
          </cell>
          <cell r="J181">
            <v>11603.600000000002</v>
          </cell>
          <cell r="K181">
            <v>99</v>
          </cell>
          <cell r="L181" t="str">
            <v>1.1.2.</v>
          </cell>
          <cell r="M181" t="str">
            <v>Калининский</v>
          </cell>
        </row>
        <row r="182">
          <cell r="M182" t="str">
            <v>Калининский</v>
          </cell>
        </row>
        <row r="183">
          <cell r="A183" t="str">
            <v>99-1.2.</v>
          </cell>
          <cell r="B183" t="str">
            <v>Технические ресурсы по нормам СНиП (без зарботной платы машиниста)</v>
          </cell>
          <cell r="F183">
            <v>1567.2791999999999</v>
          </cell>
          <cell r="H183">
            <v>67669.998439999996</v>
          </cell>
          <cell r="I183">
            <v>43.17673484086307</v>
          </cell>
          <cell r="J183">
            <v>66102.719239999991</v>
          </cell>
          <cell r="K183">
            <v>99</v>
          </cell>
          <cell r="L183" t="str">
            <v>1.2.</v>
          </cell>
          <cell r="M183" t="str">
            <v>Калининский</v>
          </cell>
        </row>
        <row r="184">
          <cell r="A184">
            <v>1</v>
          </cell>
          <cell r="B184" t="str">
            <v>Автогрейдер средний</v>
          </cell>
          <cell r="C184" t="str">
            <v>м/ч</v>
          </cell>
          <cell r="D184">
            <v>45.28</v>
          </cell>
          <cell r="E184">
            <v>2.48</v>
          </cell>
          <cell r="F184">
            <v>112.2944</v>
          </cell>
          <cell r="G184">
            <v>125.03</v>
          </cell>
          <cell r="H184">
            <v>5661.3584000000001</v>
          </cell>
          <cell r="I184">
            <v>50.415322580645167</v>
          </cell>
          <cell r="J184">
            <v>5549.0640000000003</v>
          </cell>
          <cell r="M184" t="str">
            <v>Калининский</v>
          </cell>
        </row>
        <row r="185">
          <cell r="A185">
            <v>2</v>
          </cell>
          <cell r="B185" t="str">
            <v>Щебнераспределитель</v>
          </cell>
          <cell r="C185" t="str">
            <v>м/ч</v>
          </cell>
          <cell r="D185">
            <v>43.68</v>
          </cell>
          <cell r="E185">
            <v>4.21</v>
          </cell>
          <cell r="F185">
            <v>183.89279999999999</v>
          </cell>
          <cell r="G185">
            <v>86.93</v>
          </cell>
          <cell r="H185">
            <v>3797.1024000000002</v>
          </cell>
          <cell r="I185">
            <v>20.648456057007127</v>
          </cell>
          <cell r="J185">
            <v>3613.2096000000001</v>
          </cell>
          <cell r="M185" t="str">
            <v>Калининский</v>
          </cell>
        </row>
        <row r="186">
          <cell r="A186">
            <v>3</v>
          </cell>
          <cell r="B186" t="str">
            <v>Автогудронатор 3500л</v>
          </cell>
          <cell r="C186" t="str">
            <v>м/ч</v>
          </cell>
          <cell r="D186">
            <v>25.2</v>
          </cell>
          <cell r="E186">
            <v>5.99</v>
          </cell>
          <cell r="F186">
            <v>150.94800000000001</v>
          </cell>
          <cell r="G186">
            <v>77.02</v>
          </cell>
          <cell r="H186">
            <v>1940.9039999999998</v>
          </cell>
          <cell r="I186">
            <v>12.858096828046742</v>
          </cell>
          <cell r="J186">
            <v>1789.9559999999997</v>
          </cell>
          <cell r="M186" t="str">
            <v>Калининский</v>
          </cell>
        </row>
        <row r="187">
          <cell r="A187">
            <v>4</v>
          </cell>
          <cell r="B187" t="str">
            <v>Машина поливомоечная</v>
          </cell>
          <cell r="C187" t="str">
            <v>м/ч</v>
          </cell>
          <cell r="D187">
            <v>15.011999999999999</v>
          </cell>
          <cell r="E187">
            <v>6.16</v>
          </cell>
          <cell r="F187">
            <v>92.473919999999993</v>
          </cell>
          <cell r="G187">
            <v>197.6</v>
          </cell>
          <cell r="H187">
            <v>2966.3711999999996</v>
          </cell>
          <cell r="I187">
            <v>32.077922077922075</v>
          </cell>
          <cell r="J187">
            <v>2873.8972799999997</v>
          </cell>
          <cell r="M187" t="str">
            <v>Калининский</v>
          </cell>
        </row>
        <row r="188">
          <cell r="A188">
            <v>5</v>
          </cell>
          <cell r="B188" t="str">
            <v xml:space="preserve">Каток  самоходный гладкий 5 тн </v>
          </cell>
          <cell r="C188" t="str">
            <v>м/ч</v>
          </cell>
          <cell r="D188">
            <v>204.51599999999999</v>
          </cell>
          <cell r="E188">
            <v>1.81</v>
          </cell>
          <cell r="F188">
            <v>370.17396000000002</v>
          </cell>
          <cell r="G188">
            <v>80.16</v>
          </cell>
          <cell r="H188">
            <v>16394.002559999997</v>
          </cell>
          <cell r="I188">
            <v>44.28729281767955</v>
          </cell>
          <cell r="J188">
            <v>16023.828599999997</v>
          </cell>
          <cell r="M188" t="str">
            <v>Калининский</v>
          </cell>
        </row>
        <row r="189">
          <cell r="A189">
            <v>6</v>
          </cell>
          <cell r="B189" t="str">
            <v xml:space="preserve">Каток вальцевый  10 тн </v>
          </cell>
          <cell r="C189" t="str">
            <v>м/ч</v>
          </cell>
          <cell r="D189">
            <v>247.32</v>
          </cell>
          <cell r="E189">
            <v>1.69</v>
          </cell>
          <cell r="F189">
            <v>418</v>
          </cell>
          <cell r="G189">
            <v>117.14</v>
          </cell>
          <cell r="H189">
            <v>28971.0648</v>
          </cell>
          <cell r="I189">
            <v>69.308767464114837</v>
          </cell>
          <cell r="J189">
            <v>28553.0648</v>
          </cell>
          <cell r="M189" t="str">
            <v>Калининский</v>
          </cell>
        </row>
        <row r="190">
          <cell r="A190">
            <v>7</v>
          </cell>
          <cell r="B190" t="str">
            <v>Укладчик а/бетона</v>
          </cell>
          <cell r="C190" t="str">
            <v>м/ч</v>
          </cell>
          <cell r="D190">
            <v>27.971999999999998</v>
          </cell>
          <cell r="E190">
            <v>2.29</v>
          </cell>
          <cell r="F190">
            <v>64.055880000000002</v>
          </cell>
          <cell r="G190">
            <v>148.81</v>
          </cell>
          <cell r="H190">
            <v>4162.51332</v>
          </cell>
          <cell r="I190">
            <v>64.982532751091696</v>
          </cell>
          <cell r="J190">
            <v>4098.4574400000001</v>
          </cell>
          <cell r="M190" t="str">
            <v>Калининский</v>
          </cell>
        </row>
        <row r="191">
          <cell r="A191">
            <v>8</v>
          </cell>
          <cell r="B191" t="str">
            <v>Пневмокаток 18тн</v>
          </cell>
          <cell r="C191" t="str">
            <v>м/ч</v>
          </cell>
          <cell r="D191">
            <v>6.9719999999999995</v>
          </cell>
          <cell r="E191">
            <v>4.88</v>
          </cell>
          <cell r="F191">
            <v>34.023359999999997</v>
          </cell>
          <cell r="G191">
            <v>141.41</v>
          </cell>
          <cell r="H191">
            <v>985.91051999999991</v>
          </cell>
          <cell r="I191">
            <v>28.977459016393443</v>
          </cell>
          <cell r="J191">
            <v>951.88715999999988</v>
          </cell>
          <cell r="M191" t="str">
            <v>Калининский</v>
          </cell>
        </row>
        <row r="192">
          <cell r="A192">
            <v>9</v>
          </cell>
          <cell r="B192" t="str">
            <v>Автогудронатор 7000 л</v>
          </cell>
          <cell r="C192" t="str">
            <v>м/ч</v>
          </cell>
          <cell r="D192">
            <v>12.564</v>
          </cell>
          <cell r="E192">
            <v>7.22</v>
          </cell>
          <cell r="F192">
            <v>90.71208</v>
          </cell>
          <cell r="G192">
            <v>141.41</v>
          </cell>
          <cell r="H192">
            <v>1776.67524</v>
          </cell>
          <cell r="I192">
            <v>19.585872576177284</v>
          </cell>
          <cell r="J192">
            <v>1685.96316</v>
          </cell>
          <cell r="M192" t="str">
            <v>Калининский</v>
          </cell>
        </row>
        <row r="193">
          <cell r="A193">
            <v>10</v>
          </cell>
          <cell r="B193" t="str">
            <v>Прочие машины</v>
          </cell>
          <cell r="C193" t="str">
            <v>руб</v>
          </cell>
          <cell r="D193">
            <v>50.704799999999999</v>
          </cell>
          <cell r="E193">
            <v>1</v>
          </cell>
          <cell r="F193">
            <v>50.704799999999999</v>
          </cell>
          <cell r="G193">
            <v>20</v>
          </cell>
          <cell r="H193">
            <v>1014.096</v>
          </cell>
          <cell r="I193">
            <v>20</v>
          </cell>
          <cell r="J193">
            <v>963.39120000000003</v>
          </cell>
          <cell r="M193" t="str">
            <v>Калининский</v>
          </cell>
        </row>
        <row r="194">
          <cell r="M194" t="str">
            <v>Калининский</v>
          </cell>
        </row>
        <row r="195">
          <cell r="A195" t="str">
            <v>99-1.3.</v>
          </cell>
          <cell r="B195" t="str">
            <v>Материалы</v>
          </cell>
          <cell r="F195">
            <v>41291.491799999996</v>
          </cell>
          <cell r="H195">
            <v>1243551.9002</v>
          </cell>
          <cell r="I195">
            <v>30.116419775368836</v>
          </cell>
          <cell r="J195">
            <v>1202260.4084000001</v>
          </cell>
          <cell r="K195">
            <v>99</v>
          </cell>
          <cell r="L195" t="str">
            <v>1.3.</v>
          </cell>
          <cell r="M195" t="str">
            <v>Калининский</v>
          </cell>
        </row>
        <row r="196">
          <cell r="B196" t="str">
            <v>Материальные ресурсы по нормам СНиП</v>
          </cell>
          <cell r="F196">
            <v>28244.851799999997</v>
          </cell>
          <cell r="H196">
            <v>1000719.5002</v>
          </cell>
          <cell r="I196">
            <v>35.430155813386143</v>
          </cell>
          <cell r="J196">
            <v>972474.64839999995</v>
          </cell>
          <cell r="M196" t="str">
            <v>Калининский</v>
          </cell>
        </row>
        <row r="197">
          <cell r="A197">
            <v>1</v>
          </cell>
          <cell r="B197" t="str">
            <v>ПГС</v>
          </cell>
          <cell r="C197" t="str">
            <v>м3</v>
          </cell>
          <cell r="D197">
            <v>640</v>
          </cell>
          <cell r="E197">
            <v>1.9</v>
          </cell>
          <cell r="F197">
            <v>1216</v>
          </cell>
          <cell r="G197">
            <v>40.57</v>
          </cell>
          <cell r="H197">
            <v>25964.799999999999</v>
          </cell>
          <cell r="I197">
            <v>21.352631578947367</v>
          </cell>
          <cell r="J197">
            <v>24748.799999999999</v>
          </cell>
          <cell r="M197" t="str">
            <v>Калининский</v>
          </cell>
        </row>
        <row r="198">
          <cell r="A198">
            <v>2</v>
          </cell>
          <cell r="B198" t="str">
            <v xml:space="preserve">Битум вязкий </v>
          </cell>
          <cell r="C198" t="str">
            <v>т</v>
          </cell>
          <cell r="D198">
            <v>35.9</v>
          </cell>
          <cell r="E198">
            <v>65.88</v>
          </cell>
          <cell r="F198">
            <v>2365.0919999999996</v>
          </cell>
          <cell r="G198">
            <v>3528.4</v>
          </cell>
          <cell r="H198">
            <v>126669.56</v>
          </cell>
          <cell r="I198">
            <v>53.557984213721923</v>
          </cell>
          <cell r="J198">
            <v>124304.46799999999</v>
          </cell>
          <cell r="M198" t="str">
            <v>Калининский</v>
          </cell>
        </row>
        <row r="199">
          <cell r="A199">
            <v>3</v>
          </cell>
          <cell r="B199" t="str">
            <v>Битум жидкий</v>
          </cell>
          <cell r="C199" t="str">
            <v>т</v>
          </cell>
          <cell r="D199">
            <v>18.54</v>
          </cell>
          <cell r="E199">
            <v>63.37</v>
          </cell>
          <cell r="F199">
            <v>1174.8797999999999</v>
          </cell>
          <cell r="G199">
            <v>3493.63</v>
          </cell>
          <cell r="H199">
            <v>64771.900199999996</v>
          </cell>
          <cell r="I199">
            <v>55.130661196149596</v>
          </cell>
          <cell r="J199">
            <v>63597.020399999994</v>
          </cell>
          <cell r="M199" t="str">
            <v>Калининский</v>
          </cell>
        </row>
        <row r="200">
          <cell r="A200">
            <v>4</v>
          </cell>
          <cell r="B200" t="str">
            <v>М/з а/ бетонная смесь</v>
          </cell>
          <cell r="C200" t="str">
            <v>т</v>
          </cell>
          <cell r="D200">
            <v>722</v>
          </cell>
          <cell r="E200">
            <v>14.84</v>
          </cell>
          <cell r="F200">
            <v>10714.48</v>
          </cell>
          <cell r="G200">
            <v>569.5</v>
          </cell>
          <cell r="H200">
            <v>411179</v>
          </cell>
          <cell r="I200">
            <v>38.376010781671162</v>
          </cell>
          <cell r="J200">
            <v>400464.52</v>
          </cell>
          <cell r="M200" t="str">
            <v>Калининский</v>
          </cell>
        </row>
        <row r="201">
          <cell r="A201">
            <v>5</v>
          </cell>
          <cell r="B201" t="str">
            <v>черный щебень</v>
          </cell>
          <cell r="C201" t="str">
            <v>т</v>
          </cell>
          <cell r="D201">
            <v>998</v>
          </cell>
          <cell r="E201">
            <v>12.799999999999999</v>
          </cell>
          <cell r="F201">
            <v>12774.4</v>
          </cell>
          <cell r="G201">
            <v>372.88</v>
          </cell>
          <cell r="H201">
            <v>372134.24</v>
          </cell>
          <cell r="I201">
            <v>29.131250000000001</v>
          </cell>
          <cell r="J201">
            <v>359359.83999999997</v>
          </cell>
          <cell r="M201" t="str">
            <v>Калининский</v>
          </cell>
        </row>
        <row r="202">
          <cell r="A202">
            <v>6</v>
          </cell>
          <cell r="F202">
            <v>0</v>
          </cell>
          <cell r="H202">
            <v>0</v>
          </cell>
          <cell r="I202" t="e">
            <v>#DIV/0!</v>
          </cell>
          <cell r="J202">
            <v>0</v>
          </cell>
          <cell r="M202" t="str">
            <v>Калининский</v>
          </cell>
        </row>
        <row r="203">
          <cell r="A203">
            <v>7</v>
          </cell>
          <cell r="F203">
            <v>0</v>
          </cell>
          <cell r="H203">
            <v>0</v>
          </cell>
          <cell r="I203" t="e">
            <v>#DIV/0!</v>
          </cell>
          <cell r="J203">
            <v>0</v>
          </cell>
          <cell r="M203" t="str">
            <v>Калининский</v>
          </cell>
        </row>
        <row r="204">
          <cell r="A204">
            <v>8</v>
          </cell>
          <cell r="F204">
            <v>0</v>
          </cell>
          <cell r="H204">
            <v>0</v>
          </cell>
          <cell r="I204" t="e">
            <v>#DIV/0!</v>
          </cell>
          <cell r="J204">
            <v>0</v>
          </cell>
          <cell r="M204" t="str">
            <v>Калининский</v>
          </cell>
        </row>
        <row r="205">
          <cell r="A205">
            <v>9</v>
          </cell>
          <cell r="F205">
            <v>0</v>
          </cell>
          <cell r="H205">
            <v>0</v>
          </cell>
          <cell r="I205" t="e">
            <v>#DIV/0!</v>
          </cell>
          <cell r="J205">
            <v>0</v>
          </cell>
          <cell r="M205" t="str">
            <v>Калининский</v>
          </cell>
        </row>
        <row r="206">
          <cell r="A206">
            <v>10</v>
          </cell>
          <cell r="F206">
            <v>0</v>
          </cell>
          <cell r="H206">
            <v>0</v>
          </cell>
          <cell r="I206" t="e">
            <v>#DIV/0!</v>
          </cell>
          <cell r="J206">
            <v>0</v>
          </cell>
          <cell r="M206" t="str">
            <v>Калининский</v>
          </cell>
        </row>
        <row r="207">
          <cell r="M207" t="str">
            <v>Калининский</v>
          </cell>
        </row>
        <row r="208">
          <cell r="B208" t="str">
            <v>Транспортировка материалов, т (вид транспорта, км)</v>
          </cell>
          <cell r="F208">
            <v>13046.64</v>
          </cell>
          <cell r="H208">
            <v>242832.4</v>
          </cell>
          <cell r="I208">
            <v>18.612638962982039</v>
          </cell>
          <cell r="J208">
            <v>229785.76</v>
          </cell>
          <cell r="M208" t="str">
            <v>Калининский</v>
          </cell>
        </row>
        <row r="209">
          <cell r="A209">
            <v>1</v>
          </cell>
          <cell r="B209" t="str">
            <v>ПГС - 165 км</v>
          </cell>
          <cell r="C209" t="str">
            <v>т</v>
          </cell>
          <cell r="D209">
            <v>1152</v>
          </cell>
          <cell r="E209">
            <v>7.82</v>
          </cell>
          <cell r="F209">
            <v>9008.64</v>
          </cell>
          <cell r="G209">
            <v>160.69999999999999</v>
          </cell>
          <cell r="H209">
            <v>185126.39999999999</v>
          </cell>
          <cell r="I209">
            <v>20.549872122762149</v>
          </cell>
          <cell r="J209">
            <v>176117.76000000001</v>
          </cell>
          <cell r="M209" t="str">
            <v>Калининский</v>
          </cell>
        </row>
        <row r="210">
          <cell r="A210">
            <v>2</v>
          </cell>
          <cell r="B210" t="str">
            <v>Битум вязкий -68 км</v>
          </cell>
          <cell r="C210" t="str">
            <v>т</v>
          </cell>
          <cell r="D210">
            <v>0</v>
          </cell>
          <cell r="F210">
            <v>0</v>
          </cell>
          <cell r="G210">
            <v>125.376</v>
          </cell>
          <cell r="H210">
            <v>0</v>
          </cell>
          <cell r="I210" t="e">
            <v>#DIV/0!</v>
          </cell>
          <cell r="J210">
            <v>0</v>
          </cell>
          <cell r="M210" t="str">
            <v>Калининский</v>
          </cell>
        </row>
        <row r="211">
          <cell r="A211">
            <v>3</v>
          </cell>
          <cell r="B211" t="str">
            <v>Битум жидкий-68 км</v>
          </cell>
          <cell r="C211" t="str">
            <v>т</v>
          </cell>
          <cell r="D211">
            <v>0</v>
          </cell>
          <cell r="F211">
            <v>0</v>
          </cell>
          <cell r="G211">
            <v>125.376</v>
          </cell>
          <cell r="H211">
            <v>0</v>
          </cell>
          <cell r="I211" t="e">
            <v>#DIV/0!</v>
          </cell>
          <cell r="J211">
            <v>0</v>
          </cell>
          <cell r="M211" t="str">
            <v>Калининский</v>
          </cell>
        </row>
        <row r="212">
          <cell r="A212">
            <v>4</v>
          </cell>
          <cell r="B212" t="str">
            <v>М/з а/ бетонная смесь -28 км</v>
          </cell>
          <cell r="C212" t="str">
            <v>т</v>
          </cell>
          <cell r="D212">
            <v>722</v>
          </cell>
          <cell r="E212">
            <v>2.2000000000000002</v>
          </cell>
          <cell r="F212">
            <v>1588.4</v>
          </cell>
          <cell r="G212">
            <v>33.549999999999997</v>
          </cell>
          <cell r="H212">
            <v>24223.1</v>
          </cell>
          <cell r="I212">
            <v>15.249999999999998</v>
          </cell>
          <cell r="J212">
            <v>22634.699999999997</v>
          </cell>
          <cell r="M212" t="str">
            <v>Калининский</v>
          </cell>
        </row>
        <row r="213">
          <cell r="A213">
            <v>5</v>
          </cell>
          <cell r="B213" t="str">
            <v>Черный щебень-28 км</v>
          </cell>
          <cell r="C213" t="str">
            <v>т</v>
          </cell>
          <cell r="D213">
            <v>998</v>
          </cell>
          <cell r="E213">
            <v>2.2000000000000002</v>
          </cell>
          <cell r="F213">
            <v>2195.6000000000004</v>
          </cell>
          <cell r="G213">
            <v>33.549999999999997</v>
          </cell>
          <cell r="H213">
            <v>33482.899999999994</v>
          </cell>
          <cell r="I213">
            <v>15.249999999999995</v>
          </cell>
          <cell r="J213">
            <v>31287.299999999996</v>
          </cell>
          <cell r="M213" t="str">
            <v>Калининский</v>
          </cell>
        </row>
        <row r="214">
          <cell r="A214">
            <v>6</v>
          </cell>
          <cell r="B214" t="str">
            <v>Доп тр битума</v>
          </cell>
          <cell r="C214" t="str">
            <v>т</v>
          </cell>
          <cell r="F214">
            <v>254</v>
          </cell>
          <cell r="H214">
            <v>0</v>
          </cell>
          <cell r="I214">
            <v>0</v>
          </cell>
          <cell r="J214">
            <v>-254</v>
          </cell>
          <cell r="M214" t="str">
            <v>Калининский</v>
          </cell>
        </row>
        <row r="215">
          <cell r="A215">
            <v>7</v>
          </cell>
          <cell r="C215" t="str">
            <v>т</v>
          </cell>
          <cell r="F215">
            <v>0</v>
          </cell>
          <cell r="H215">
            <v>0</v>
          </cell>
          <cell r="I215" t="e">
            <v>#DIV/0!</v>
          </cell>
          <cell r="J215">
            <v>0</v>
          </cell>
          <cell r="M215" t="str">
            <v>Калининский</v>
          </cell>
        </row>
        <row r="216">
          <cell r="A216">
            <v>8</v>
          </cell>
          <cell r="C216" t="str">
            <v>т</v>
          </cell>
          <cell r="F216">
            <v>0</v>
          </cell>
          <cell r="H216">
            <v>0</v>
          </cell>
          <cell r="I216" t="e">
            <v>#DIV/0!</v>
          </cell>
          <cell r="J216">
            <v>0</v>
          </cell>
          <cell r="M216" t="str">
            <v>Калининский</v>
          </cell>
        </row>
        <row r="217">
          <cell r="A217">
            <v>9</v>
          </cell>
          <cell r="C217" t="str">
            <v>т</v>
          </cell>
          <cell r="F217">
            <v>0</v>
          </cell>
          <cell r="H217">
            <v>0</v>
          </cell>
          <cell r="I217" t="e">
            <v>#DIV/0!</v>
          </cell>
          <cell r="J217">
            <v>0</v>
          </cell>
          <cell r="M217" t="str">
            <v>Калининский</v>
          </cell>
        </row>
        <row r="218">
          <cell r="A218">
            <v>10</v>
          </cell>
          <cell r="C218" t="str">
            <v>т</v>
          </cell>
          <cell r="F218">
            <v>0</v>
          </cell>
          <cell r="H218">
            <v>0</v>
          </cell>
          <cell r="I218" t="e">
            <v>#DIV/0!</v>
          </cell>
          <cell r="J218">
            <v>0</v>
          </cell>
          <cell r="M218" t="str">
            <v>Калининский</v>
          </cell>
        </row>
        <row r="219">
          <cell r="M219" t="str">
            <v>Калининский</v>
          </cell>
        </row>
        <row r="220">
          <cell r="B220" t="str">
            <v>Заготовительно-складские расходы</v>
          </cell>
          <cell r="F220">
            <v>0</v>
          </cell>
          <cell r="H220">
            <v>0</v>
          </cell>
          <cell r="I220" t="e">
            <v>#DIV/0!</v>
          </cell>
          <cell r="J220">
            <v>0</v>
          </cell>
          <cell r="M220" t="str">
            <v>Калининский</v>
          </cell>
        </row>
        <row r="221">
          <cell r="A221">
            <v>1</v>
          </cell>
          <cell r="B221" t="str">
            <v>ПГС</v>
          </cell>
          <cell r="C221" t="str">
            <v>руб</v>
          </cell>
          <cell r="E221">
            <v>10224.64</v>
          </cell>
          <cell r="F221">
            <v>0</v>
          </cell>
          <cell r="H221">
            <v>0</v>
          </cell>
          <cell r="I221" t="e">
            <v>#DIV/0!</v>
          </cell>
          <cell r="J221">
            <v>0</v>
          </cell>
          <cell r="M221" t="str">
            <v>Калининский</v>
          </cell>
        </row>
        <row r="222">
          <cell r="A222">
            <v>2</v>
          </cell>
          <cell r="B222" t="str">
            <v xml:space="preserve">Битум вязкий </v>
          </cell>
          <cell r="C222" t="str">
            <v>руб</v>
          </cell>
          <cell r="E222">
            <v>2365.0919999999996</v>
          </cell>
          <cell r="F222">
            <v>0</v>
          </cell>
          <cell r="H222">
            <v>0</v>
          </cell>
          <cell r="I222" t="e">
            <v>#DIV/0!</v>
          </cell>
          <cell r="J222">
            <v>0</v>
          </cell>
          <cell r="M222" t="str">
            <v>Калининский</v>
          </cell>
        </row>
        <row r="223">
          <cell r="A223">
            <v>3</v>
          </cell>
          <cell r="B223" t="str">
            <v>Битум жидкий</v>
          </cell>
          <cell r="C223" t="str">
            <v>руб</v>
          </cell>
          <cell r="E223">
            <v>1174.8797999999999</v>
          </cell>
          <cell r="F223">
            <v>0</v>
          </cell>
          <cell r="H223">
            <v>0</v>
          </cell>
          <cell r="I223" t="e">
            <v>#DIV/0!</v>
          </cell>
          <cell r="J223">
            <v>0</v>
          </cell>
          <cell r="M223" t="str">
            <v>Калининский</v>
          </cell>
        </row>
        <row r="224">
          <cell r="A224">
            <v>4</v>
          </cell>
          <cell r="B224" t="str">
            <v>М/з а/ бетонная смесь</v>
          </cell>
          <cell r="C224" t="str">
            <v>руб</v>
          </cell>
          <cell r="E224">
            <v>12302.88</v>
          </cell>
          <cell r="F224">
            <v>0</v>
          </cell>
          <cell r="H224">
            <v>0</v>
          </cell>
          <cell r="I224" t="e">
            <v>#DIV/0!</v>
          </cell>
          <cell r="J224">
            <v>0</v>
          </cell>
          <cell r="M224" t="str">
            <v>Калининский</v>
          </cell>
        </row>
        <row r="225">
          <cell r="A225">
            <v>5</v>
          </cell>
          <cell r="B225" t="str">
            <v>черный щебень</v>
          </cell>
          <cell r="C225" t="str">
            <v>руб</v>
          </cell>
          <cell r="E225">
            <v>14970</v>
          </cell>
          <cell r="F225">
            <v>0</v>
          </cell>
          <cell r="H225">
            <v>0</v>
          </cell>
          <cell r="I225" t="e">
            <v>#DIV/0!</v>
          </cell>
          <cell r="J225">
            <v>0</v>
          </cell>
          <cell r="M225" t="str">
            <v>Калининский</v>
          </cell>
        </row>
        <row r="226">
          <cell r="A226">
            <v>6</v>
          </cell>
          <cell r="B226">
            <v>0</v>
          </cell>
          <cell r="C226" t="str">
            <v>руб</v>
          </cell>
          <cell r="E226">
            <v>254</v>
          </cell>
          <cell r="F226">
            <v>0</v>
          </cell>
          <cell r="H226">
            <v>0</v>
          </cell>
          <cell r="I226" t="e">
            <v>#DIV/0!</v>
          </cell>
          <cell r="J226">
            <v>0</v>
          </cell>
          <cell r="M226" t="str">
            <v>Калининский</v>
          </cell>
        </row>
        <row r="227">
          <cell r="A227">
            <v>7</v>
          </cell>
          <cell r="B227">
            <v>0</v>
          </cell>
          <cell r="C227" t="str">
            <v>руб</v>
          </cell>
          <cell r="E227">
            <v>0</v>
          </cell>
          <cell r="F227">
            <v>0</v>
          </cell>
          <cell r="H227">
            <v>0</v>
          </cell>
          <cell r="I227" t="e">
            <v>#DIV/0!</v>
          </cell>
          <cell r="J227">
            <v>0</v>
          </cell>
          <cell r="M227" t="str">
            <v>Калининский</v>
          </cell>
        </row>
        <row r="228">
          <cell r="A228">
            <v>8</v>
          </cell>
          <cell r="B228">
            <v>0</v>
          </cell>
          <cell r="C228" t="str">
            <v>руб</v>
          </cell>
          <cell r="E228">
            <v>0</v>
          </cell>
          <cell r="F228">
            <v>0</v>
          </cell>
          <cell r="H228">
            <v>0</v>
          </cell>
          <cell r="I228" t="e">
            <v>#DIV/0!</v>
          </cell>
          <cell r="J228">
            <v>0</v>
          </cell>
          <cell r="M228" t="str">
            <v>Калининский</v>
          </cell>
        </row>
        <row r="229">
          <cell r="A229">
            <v>9</v>
          </cell>
          <cell r="B229">
            <v>0</v>
          </cell>
          <cell r="C229" t="str">
            <v>руб</v>
          </cell>
          <cell r="E229">
            <v>0</v>
          </cell>
          <cell r="F229">
            <v>0</v>
          </cell>
          <cell r="H229">
            <v>0</v>
          </cell>
          <cell r="I229" t="e">
            <v>#DIV/0!</v>
          </cell>
          <cell r="J229">
            <v>0</v>
          </cell>
          <cell r="M229" t="str">
            <v>Калининский</v>
          </cell>
        </row>
        <row r="230">
          <cell r="A230">
            <v>10</v>
          </cell>
          <cell r="B230">
            <v>0</v>
          </cell>
          <cell r="C230" t="str">
            <v>руб</v>
          </cell>
          <cell r="E230">
            <v>0</v>
          </cell>
          <cell r="F230">
            <v>0</v>
          </cell>
          <cell r="H230">
            <v>0</v>
          </cell>
          <cell r="I230" t="e">
            <v>#DIV/0!</v>
          </cell>
          <cell r="J230">
            <v>0</v>
          </cell>
          <cell r="M230" t="str">
            <v>Калининский</v>
          </cell>
        </row>
        <row r="231">
          <cell r="M231" t="str">
            <v>Калининский</v>
          </cell>
        </row>
        <row r="232">
          <cell r="M232" t="str">
            <v>Калининский</v>
          </cell>
        </row>
        <row r="233">
          <cell r="B233" t="str">
            <v>Составил:______________________________</v>
          </cell>
          <cell r="M233" t="str">
            <v>Калининский</v>
          </cell>
        </row>
        <row r="234">
          <cell r="M234" t="str">
            <v>Калининский</v>
          </cell>
        </row>
        <row r="235">
          <cell r="B235" t="str">
            <v>Начальник ТДО: ________________________</v>
          </cell>
        </row>
        <row r="236">
          <cell r="B236" t="str">
            <v>Район: Калининский \ Тимашевск - Славянск-на-Кубани - Крымск ;  км: 28+000-33+000 \ Облегченный ремонт - III вариант</v>
          </cell>
          <cell r="K236">
            <v>100</v>
          </cell>
          <cell r="M236" t="str">
            <v>Калининский</v>
          </cell>
        </row>
        <row r="237">
          <cell r="A237" t="str">
            <v>100-1.1.</v>
          </cell>
          <cell r="B237" t="str">
            <v>Фонд заработной платы</v>
          </cell>
          <cell r="D237">
            <v>6799</v>
          </cell>
          <cell r="F237">
            <v>4436</v>
          </cell>
          <cell r="H237">
            <v>90067</v>
          </cell>
          <cell r="I237">
            <v>20</v>
          </cell>
          <cell r="J237">
            <v>85631</v>
          </cell>
          <cell r="K237">
            <v>100</v>
          </cell>
          <cell r="L237" t="str">
            <v>1.1.</v>
          </cell>
          <cell r="M237" t="str">
            <v>Калининский</v>
          </cell>
        </row>
        <row r="238">
          <cell r="A238" t="str">
            <v>100-1.1.1.</v>
          </cell>
          <cell r="B238" t="str">
            <v>Основные рабочие</v>
          </cell>
          <cell r="C238" t="str">
            <v>ч/ч</v>
          </cell>
          <cell r="D238">
            <v>4688</v>
          </cell>
          <cell r="E238">
            <v>0.55200000000000005</v>
          </cell>
          <cell r="F238">
            <v>2590</v>
          </cell>
          <cell r="G238">
            <v>12.2</v>
          </cell>
          <cell r="H238">
            <v>57198</v>
          </cell>
          <cell r="I238">
            <v>22.08</v>
          </cell>
          <cell r="J238">
            <v>54608</v>
          </cell>
          <cell r="K238">
            <v>100</v>
          </cell>
          <cell r="L238" t="str">
            <v>1.1.1.</v>
          </cell>
          <cell r="M238" t="str">
            <v>Калининский</v>
          </cell>
        </row>
        <row r="239">
          <cell r="A239" t="str">
            <v>100-1.1.2.</v>
          </cell>
          <cell r="B239" t="str">
            <v>Машинисты</v>
          </cell>
          <cell r="C239" t="str">
            <v>ч/ч</v>
          </cell>
          <cell r="D239">
            <v>2111</v>
          </cell>
          <cell r="E239">
            <v>0.874</v>
          </cell>
          <cell r="F239">
            <v>1846</v>
          </cell>
          <cell r="G239">
            <v>15.57</v>
          </cell>
          <cell r="H239">
            <v>32868</v>
          </cell>
          <cell r="I239">
            <v>17.809999999999999</v>
          </cell>
          <cell r="J239">
            <v>31022</v>
          </cell>
          <cell r="K239">
            <v>100</v>
          </cell>
          <cell r="L239" t="str">
            <v>1.1.2.</v>
          </cell>
          <cell r="M239" t="str">
            <v>Калининский</v>
          </cell>
        </row>
        <row r="240">
          <cell r="M240" t="str">
            <v>Калининский</v>
          </cell>
        </row>
        <row r="241">
          <cell r="A241" t="str">
            <v>100-1.2.</v>
          </cell>
          <cell r="B241" t="str">
            <v>Технические ресурсы по нормам СНиП (без зарботной платы машиниста)</v>
          </cell>
          <cell r="F241">
            <v>4125</v>
          </cell>
          <cell r="H241">
            <v>207017</v>
          </cell>
          <cell r="I241">
            <v>50.19</v>
          </cell>
          <cell r="J241">
            <v>202892</v>
          </cell>
          <cell r="K241">
            <v>100</v>
          </cell>
          <cell r="L241" t="str">
            <v>1.2.</v>
          </cell>
          <cell r="M241" t="str">
            <v>Калининский</v>
          </cell>
        </row>
        <row r="242">
          <cell r="A242">
            <v>1</v>
          </cell>
          <cell r="B242" t="str">
            <v>Автогрейдер средний</v>
          </cell>
          <cell r="C242" t="str">
            <v>м/ч</v>
          </cell>
          <cell r="D242">
            <v>86</v>
          </cell>
          <cell r="E242">
            <v>2.48</v>
          </cell>
          <cell r="F242">
            <v>213</v>
          </cell>
          <cell r="G242">
            <v>125.03</v>
          </cell>
          <cell r="H242">
            <v>10753</v>
          </cell>
          <cell r="I242">
            <v>50.42</v>
          </cell>
          <cell r="J242">
            <v>10539</v>
          </cell>
          <cell r="M242" t="str">
            <v>Калининский</v>
          </cell>
        </row>
        <row r="243">
          <cell r="A243">
            <v>2</v>
          </cell>
          <cell r="B243" t="str">
            <v>Щебнераспределитель</v>
          </cell>
          <cell r="C243" t="str">
            <v>м/ч</v>
          </cell>
          <cell r="D243">
            <v>51</v>
          </cell>
          <cell r="E243">
            <v>4.21</v>
          </cell>
          <cell r="F243">
            <v>217</v>
          </cell>
          <cell r="G243">
            <v>86.93</v>
          </cell>
          <cell r="H243">
            <v>4475</v>
          </cell>
          <cell r="I243">
            <v>20.65</v>
          </cell>
          <cell r="J243">
            <v>4258</v>
          </cell>
          <cell r="M243" t="str">
            <v>Калининский</v>
          </cell>
        </row>
        <row r="244">
          <cell r="A244">
            <v>3</v>
          </cell>
          <cell r="B244" t="str">
            <v>Автогудронатор 3500л</v>
          </cell>
          <cell r="C244" t="str">
            <v>м/ч</v>
          </cell>
          <cell r="D244">
            <v>10</v>
          </cell>
          <cell r="E244">
            <v>5.99</v>
          </cell>
          <cell r="F244">
            <v>60</v>
          </cell>
          <cell r="G244">
            <v>77.02</v>
          </cell>
          <cell r="H244">
            <v>776</v>
          </cell>
          <cell r="I244">
            <v>12.86</v>
          </cell>
          <cell r="J244">
            <v>716</v>
          </cell>
          <cell r="M244" t="str">
            <v>Калининский</v>
          </cell>
        </row>
        <row r="245">
          <cell r="A245">
            <v>4</v>
          </cell>
          <cell r="B245" t="str">
            <v>Машина поливомоечная</v>
          </cell>
          <cell r="C245" t="str">
            <v>м/ч</v>
          </cell>
          <cell r="D245">
            <v>29</v>
          </cell>
          <cell r="E245">
            <v>6.16</v>
          </cell>
          <cell r="F245">
            <v>176</v>
          </cell>
          <cell r="G245">
            <v>197.6</v>
          </cell>
          <cell r="H245">
            <v>5636</v>
          </cell>
          <cell r="I245">
            <v>32.08</v>
          </cell>
          <cell r="J245">
            <v>5461</v>
          </cell>
          <cell r="M245" t="str">
            <v>Калининский</v>
          </cell>
        </row>
        <row r="246">
          <cell r="A246">
            <v>5</v>
          </cell>
          <cell r="B246" t="str">
            <v xml:space="preserve">Каток  самоходный гладкий 5 тн </v>
          </cell>
          <cell r="C246" t="str">
            <v>м/ч</v>
          </cell>
          <cell r="D246">
            <v>685</v>
          </cell>
          <cell r="E246">
            <v>1.81</v>
          </cell>
          <cell r="F246">
            <v>1241</v>
          </cell>
          <cell r="G246">
            <v>80.16</v>
          </cell>
          <cell r="H246">
            <v>54949</v>
          </cell>
          <cell r="I246">
            <v>44.29</v>
          </cell>
          <cell r="J246">
            <v>53708</v>
          </cell>
          <cell r="M246" t="str">
            <v>Калининский</v>
          </cell>
        </row>
        <row r="247">
          <cell r="A247">
            <v>6</v>
          </cell>
          <cell r="B247" t="str">
            <v xml:space="preserve">Каток вальцевый  10 тн </v>
          </cell>
          <cell r="C247" t="str">
            <v>м/ч</v>
          </cell>
          <cell r="D247">
            <v>668</v>
          </cell>
          <cell r="E247">
            <v>1.69</v>
          </cell>
          <cell r="F247">
            <v>1129</v>
          </cell>
          <cell r="G247">
            <v>117.14</v>
          </cell>
          <cell r="H247">
            <v>78254</v>
          </cell>
          <cell r="I247">
            <v>69.31</v>
          </cell>
          <cell r="J247">
            <v>77125</v>
          </cell>
          <cell r="M247" t="str">
            <v>Калининский</v>
          </cell>
        </row>
        <row r="248">
          <cell r="A248">
            <v>7</v>
          </cell>
          <cell r="B248" t="str">
            <v>Укладчик а/бетона</v>
          </cell>
          <cell r="C248" t="str">
            <v>м/ч</v>
          </cell>
          <cell r="D248">
            <v>296</v>
          </cell>
          <cell r="E248">
            <v>2.29</v>
          </cell>
          <cell r="F248">
            <v>677</v>
          </cell>
          <cell r="G248">
            <v>148.81</v>
          </cell>
          <cell r="H248">
            <v>43991</v>
          </cell>
          <cell r="I248">
            <v>64.98</v>
          </cell>
          <cell r="J248">
            <v>43314</v>
          </cell>
          <cell r="M248" t="str">
            <v>Калининский</v>
          </cell>
        </row>
        <row r="249">
          <cell r="A249">
            <v>8</v>
          </cell>
          <cell r="B249" t="str">
            <v>Пневмокаток 18тн</v>
          </cell>
          <cell r="C249" t="str">
            <v>м/ч</v>
          </cell>
          <cell r="D249">
            <v>11</v>
          </cell>
          <cell r="E249">
            <v>4.88</v>
          </cell>
          <cell r="F249">
            <v>54</v>
          </cell>
          <cell r="G249">
            <v>94.73</v>
          </cell>
          <cell r="H249">
            <v>1045</v>
          </cell>
          <cell r="I249">
            <v>19.41</v>
          </cell>
          <cell r="J249">
            <v>991</v>
          </cell>
          <cell r="M249" t="str">
            <v>Калининский</v>
          </cell>
        </row>
        <row r="250">
          <cell r="A250">
            <v>9</v>
          </cell>
          <cell r="B250" t="str">
            <v>Автогудронатор 7000 л</v>
          </cell>
          <cell r="C250" t="str">
            <v>м/ч</v>
          </cell>
          <cell r="D250">
            <v>10</v>
          </cell>
          <cell r="E250">
            <v>7.22</v>
          </cell>
          <cell r="F250">
            <v>73</v>
          </cell>
          <cell r="G250">
            <v>141.41</v>
          </cell>
          <cell r="H250">
            <v>1425</v>
          </cell>
          <cell r="I250">
            <v>19.59</v>
          </cell>
          <cell r="J250">
            <v>1353</v>
          </cell>
          <cell r="M250" t="str">
            <v>Калининский</v>
          </cell>
        </row>
        <row r="251">
          <cell r="A251">
            <v>10</v>
          </cell>
          <cell r="B251" t="str">
            <v>Прочие машины</v>
          </cell>
          <cell r="C251" t="str">
            <v>руб</v>
          </cell>
          <cell r="D251">
            <v>286</v>
          </cell>
          <cell r="E251">
            <v>1</v>
          </cell>
          <cell r="F251">
            <v>286</v>
          </cell>
          <cell r="G251">
            <v>20</v>
          </cell>
          <cell r="H251">
            <v>5713</v>
          </cell>
          <cell r="I251">
            <v>20</v>
          </cell>
          <cell r="J251">
            <v>5427</v>
          </cell>
          <cell r="M251" t="str">
            <v>Калининский</v>
          </cell>
        </row>
        <row r="252">
          <cell r="M252" t="str">
            <v>Калининский</v>
          </cell>
        </row>
        <row r="253">
          <cell r="A253" t="str">
            <v>100-1.3.</v>
          </cell>
          <cell r="B253" t="str">
            <v>Материалы</v>
          </cell>
          <cell r="F253">
            <v>146643</v>
          </cell>
          <cell r="H253">
            <v>4497076</v>
          </cell>
          <cell r="I253">
            <v>30.67</v>
          </cell>
          <cell r="J253">
            <v>4350433</v>
          </cell>
          <cell r="K253">
            <v>100</v>
          </cell>
          <cell r="L253" t="str">
            <v>1.3.</v>
          </cell>
          <cell r="M253" t="str">
            <v>Калининский</v>
          </cell>
        </row>
        <row r="254">
          <cell r="B254" t="str">
            <v>Материальные ресурсы по нормам СНиП</v>
          </cell>
          <cell r="F254">
            <v>117600</v>
          </cell>
          <cell r="H254">
            <v>3976231</v>
          </cell>
          <cell r="I254">
            <v>33.81</v>
          </cell>
          <cell r="J254">
            <v>3858631</v>
          </cell>
          <cell r="M254" t="str">
            <v>Калининский</v>
          </cell>
        </row>
        <row r="255">
          <cell r="A255">
            <v>1</v>
          </cell>
          <cell r="B255" t="str">
            <v>ПГС</v>
          </cell>
          <cell r="C255" t="str">
            <v>м3</v>
          </cell>
          <cell r="D255">
            <v>1823</v>
          </cell>
          <cell r="E255">
            <v>1.9</v>
          </cell>
          <cell r="F255">
            <v>3464</v>
          </cell>
          <cell r="G255">
            <v>40.57</v>
          </cell>
          <cell r="H255">
            <v>73959</v>
          </cell>
          <cell r="I255">
            <v>21.35</v>
          </cell>
          <cell r="J255">
            <v>70495</v>
          </cell>
          <cell r="M255" t="str">
            <v>Калининский</v>
          </cell>
        </row>
        <row r="256">
          <cell r="A256">
            <v>2</v>
          </cell>
          <cell r="B256" t="str">
            <v xml:space="preserve">Битум жидкий </v>
          </cell>
          <cell r="C256" t="str">
            <v>т</v>
          </cell>
          <cell r="D256">
            <v>20.6</v>
          </cell>
          <cell r="E256">
            <v>63.37</v>
          </cell>
          <cell r="F256">
            <v>1305</v>
          </cell>
          <cell r="G256">
            <v>3493.63</v>
          </cell>
          <cell r="H256">
            <v>71969</v>
          </cell>
          <cell r="I256">
            <v>55.13</v>
          </cell>
          <cell r="J256">
            <v>70663</v>
          </cell>
          <cell r="M256" t="str">
            <v>Калининский</v>
          </cell>
        </row>
        <row r="257">
          <cell r="A257">
            <v>3</v>
          </cell>
          <cell r="B257" t="str">
            <v>Битум вязкий</v>
          </cell>
          <cell r="C257" t="str">
            <v>т</v>
          </cell>
          <cell r="D257">
            <v>35.270000000000003</v>
          </cell>
          <cell r="E257">
            <v>65.88</v>
          </cell>
          <cell r="F257">
            <v>2324</v>
          </cell>
          <cell r="G257">
            <v>3528.4</v>
          </cell>
          <cell r="H257">
            <v>124447</v>
          </cell>
          <cell r="I257">
            <v>53.56</v>
          </cell>
          <cell r="J257">
            <v>122123</v>
          </cell>
          <cell r="M257" t="str">
            <v>Калининский</v>
          </cell>
        </row>
        <row r="258">
          <cell r="A258">
            <v>4</v>
          </cell>
          <cell r="B258" t="str">
            <v>М/з а/ бетонная смесь (выравн.сл)</v>
          </cell>
          <cell r="C258" t="str">
            <v>т</v>
          </cell>
          <cell r="D258">
            <v>1777</v>
          </cell>
          <cell r="E258">
            <v>14.84</v>
          </cell>
          <cell r="F258">
            <v>26371</v>
          </cell>
          <cell r="G258">
            <v>569.5</v>
          </cell>
          <cell r="H258">
            <v>1012002</v>
          </cell>
          <cell r="I258">
            <v>38.380000000000003</v>
          </cell>
          <cell r="J258">
            <v>985631</v>
          </cell>
          <cell r="M258" t="str">
            <v>Калининский</v>
          </cell>
        </row>
        <row r="259">
          <cell r="A259">
            <v>5</v>
          </cell>
          <cell r="B259" t="str">
            <v>черный щебень</v>
          </cell>
          <cell r="C259" t="str">
            <v>т</v>
          </cell>
          <cell r="D259">
            <v>980</v>
          </cell>
          <cell r="E259">
            <v>12.8</v>
          </cell>
          <cell r="F259">
            <v>12544</v>
          </cell>
          <cell r="G259">
            <v>372.88</v>
          </cell>
          <cell r="H259">
            <v>365422</v>
          </cell>
          <cell r="I259">
            <v>29.13</v>
          </cell>
          <cell r="J259">
            <v>352878</v>
          </cell>
          <cell r="M259" t="str">
            <v>Калининский</v>
          </cell>
        </row>
        <row r="260">
          <cell r="A260">
            <v>6</v>
          </cell>
          <cell r="B260" t="str">
            <v>М/з а/ бетонная смесь (слой покрытия)</v>
          </cell>
          <cell r="C260" t="str">
            <v>т</v>
          </cell>
          <cell r="D260">
            <v>4772</v>
          </cell>
          <cell r="E260">
            <v>14.84</v>
          </cell>
          <cell r="F260">
            <v>70816</v>
          </cell>
          <cell r="G260">
            <v>486.31</v>
          </cell>
          <cell r="H260">
            <v>2320671</v>
          </cell>
          <cell r="I260">
            <v>32.770000000000003</v>
          </cell>
          <cell r="J260">
            <v>2249855</v>
          </cell>
          <cell r="M260" t="str">
            <v>Калининский</v>
          </cell>
        </row>
        <row r="261">
          <cell r="A261">
            <v>7</v>
          </cell>
          <cell r="B261" t="str">
            <v>Прочие материалы</v>
          </cell>
          <cell r="C261" t="str">
            <v>руб</v>
          </cell>
          <cell r="D261">
            <v>776.13</v>
          </cell>
          <cell r="E261">
            <v>1</v>
          </cell>
          <cell r="F261">
            <v>776</v>
          </cell>
          <cell r="G261">
            <v>10</v>
          </cell>
          <cell r="H261">
            <v>7761</v>
          </cell>
          <cell r="I261">
            <v>10</v>
          </cell>
          <cell r="J261">
            <v>6985</v>
          </cell>
          <cell r="M261" t="str">
            <v>Калининский</v>
          </cell>
        </row>
        <row r="262">
          <cell r="A262">
            <v>8</v>
          </cell>
          <cell r="F262">
            <v>0</v>
          </cell>
          <cell r="H262">
            <v>0</v>
          </cell>
          <cell r="I262" t="e">
            <v>#DIV/0!</v>
          </cell>
          <cell r="J262">
            <v>0</v>
          </cell>
          <cell r="M262" t="str">
            <v>Калининский</v>
          </cell>
        </row>
        <row r="263">
          <cell r="A263">
            <v>9</v>
          </cell>
          <cell r="F263">
            <v>0</v>
          </cell>
          <cell r="H263">
            <v>0</v>
          </cell>
          <cell r="I263" t="e">
            <v>#DIV/0!</v>
          </cell>
          <cell r="J263">
            <v>0</v>
          </cell>
          <cell r="M263" t="str">
            <v>Калининский</v>
          </cell>
        </row>
        <row r="264">
          <cell r="A264">
            <v>10</v>
          </cell>
          <cell r="F264">
            <v>0</v>
          </cell>
          <cell r="H264">
            <v>0</v>
          </cell>
          <cell r="I264" t="e">
            <v>#DIV/0!</v>
          </cell>
          <cell r="J264">
            <v>0</v>
          </cell>
          <cell r="M264" t="str">
            <v>Калининский</v>
          </cell>
        </row>
        <row r="265">
          <cell r="M265" t="str">
            <v>Калининский</v>
          </cell>
        </row>
        <row r="266">
          <cell r="B266" t="str">
            <v>Транспортировка материалов, т (вид транспорта, км)</v>
          </cell>
          <cell r="F266">
            <v>29043</v>
          </cell>
          <cell r="H266">
            <v>520845</v>
          </cell>
          <cell r="I266">
            <v>17.93</v>
          </cell>
          <cell r="J266">
            <v>491802</v>
          </cell>
          <cell r="M266" t="str">
            <v>Калининский</v>
          </cell>
        </row>
        <row r="267">
          <cell r="A267">
            <v>1</v>
          </cell>
          <cell r="B267" t="str">
            <v>ПГС - 143 км</v>
          </cell>
          <cell r="C267" t="str">
            <v>т</v>
          </cell>
          <cell r="D267">
            <v>3281</v>
          </cell>
          <cell r="E267">
            <v>6.58</v>
          </cell>
          <cell r="F267">
            <v>21589</v>
          </cell>
          <cell r="G267">
            <v>141.26</v>
          </cell>
          <cell r="H267">
            <v>463474</v>
          </cell>
          <cell r="I267">
            <v>21.47</v>
          </cell>
          <cell r="J267">
            <v>441885</v>
          </cell>
          <cell r="M267" t="str">
            <v>Калининский</v>
          </cell>
        </row>
        <row r="268">
          <cell r="A268">
            <v>2</v>
          </cell>
          <cell r="B268" t="str">
            <v>Битум вязкий  46 км</v>
          </cell>
          <cell r="C268" t="str">
            <v>т</v>
          </cell>
          <cell r="D268">
            <v>35.270000000000003</v>
          </cell>
          <cell r="F268">
            <v>0</v>
          </cell>
          <cell r="H268">
            <v>0</v>
          </cell>
          <cell r="I268" t="e">
            <v>#DIV/0!</v>
          </cell>
          <cell r="J268">
            <v>0</v>
          </cell>
          <cell r="M268" t="str">
            <v>Калининский</v>
          </cell>
        </row>
        <row r="269">
          <cell r="A269">
            <v>3</v>
          </cell>
          <cell r="B269" t="str">
            <v>Битум жидкий-46 км</v>
          </cell>
          <cell r="C269" t="str">
            <v>т</v>
          </cell>
          <cell r="D269">
            <v>20.6</v>
          </cell>
          <cell r="F269">
            <v>0</v>
          </cell>
          <cell r="H269">
            <v>0</v>
          </cell>
          <cell r="I269" t="e">
            <v>#DIV/0!</v>
          </cell>
          <cell r="J269">
            <v>0</v>
          </cell>
          <cell r="M269" t="str">
            <v>Калининский</v>
          </cell>
        </row>
        <row r="270">
          <cell r="A270">
            <v>4</v>
          </cell>
          <cell r="B270" t="str">
            <v>М/з а/ бетонная смесь (выравн.сл)</v>
          </cell>
          <cell r="C270" t="str">
            <v>т</v>
          </cell>
          <cell r="D270">
            <v>1777</v>
          </cell>
          <cell r="E270">
            <v>0.99</v>
          </cell>
          <cell r="F270">
            <v>1759</v>
          </cell>
          <cell r="G270">
            <v>7.62</v>
          </cell>
          <cell r="H270">
            <v>13541</v>
          </cell>
          <cell r="I270">
            <v>7.7</v>
          </cell>
          <cell r="J270">
            <v>11782</v>
          </cell>
          <cell r="M270" t="str">
            <v>Калининский</v>
          </cell>
        </row>
        <row r="271">
          <cell r="A271">
            <v>5</v>
          </cell>
          <cell r="B271" t="str">
            <v>Черный щебень-6 км</v>
          </cell>
          <cell r="C271" t="str">
            <v>т</v>
          </cell>
          <cell r="D271">
            <v>980</v>
          </cell>
          <cell r="E271">
            <v>0.99</v>
          </cell>
          <cell r="F271">
            <v>970</v>
          </cell>
          <cell r="G271">
            <v>7.62</v>
          </cell>
          <cell r="H271">
            <v>7468</v>
          </cell>
          <cell r="I271">
            <v>7.7</v>
          </cell>
          <cell r="J271">
            <v>6497</v>
          </cell>
          <cell r="M271" t="str">
            <v>Калининский</v>
          </cell>
        </row>
        <row r="272">
          <cell r="A272">
            <v>6</v>
          </cell>
          <cell r="B272" t="str">
            <v>М/з а/ бетонная смесь (слой покрытия)</v>
          </cell>
          <cell r="C272" t="str">
            <v>т</v>
          </cell>
          <cell r="D272">
            <v>4772</v>
          </cell>
          <cell r="E272">
            <v>0.99</v>
          </cell>
          <cell r="F272">
            <v>4724</v>
          </cell>
          <cell r="G272">
            <v>7.62</v>
          </cell>
          <cell r="H272">
            <v>36363</v>
          </cell>
          <cell r="I272">
            <v>7.7</v>
          </cell>
          <cell r="J272">
            <v>31638</v>
          </cell>
          <cell r="M272" t="str">
            <v>Калининский</v>
          </cell>
        </row>
        <row r="273">
          <cell r="A273">
            <v>7</v>
          </cell>
          <cell r="C273" t="str">
            <v>т</v>
          </cell>
          <cell r="F273">
            <v>0</v>
          </cell>
          <cell r="H273">
            <v>0</v>
          </cell>
          <cell r="I273" t="e">
            <v>#DIV/0!</v>
          </cell>
          <cell r="J273">
            <v>0</v>
          </cell>
          <cell r="M273" t="str">
            <v>Калининский</v>
          </cell>
        </row>
        <row r="274">
          <cell r="A274">
            <v>8</v>
          </cell>
          <cell r="C274" t="str">
            <v>т</v>
          </cell>
          <cell r="F274">
            <v>0</v>
          </cell>
          <cell r="H274">
            <v>0</v>
          </cell>
          <cell r="I274" t="e">
            <v>#DIV/0!</v>
          </cell>
          <cell r="J274">
            <v>0</v>
          </cell>
          <cell r="M274" t="str">
            <v>Калининский</v>
          </cell>
        </row>
        <row r="275">
          <cell r="A275">
            <v>9</v>
          </cell>
          <cell r="C275" t="str">
            <v>т</v>
          </cell>
          <cell r="F275">
            <v>0</v>
          </cell>
          <cell r="H275">
            <v>0</v>
          </cell>
          <cell r="I275" t="e">
            <v>#DIV/0!</v>
          </cell>
          <cell r="J275">
            <v>0</v>
          </cell>
          <cell r="M275" t="str">
            <v>Калининский</v>
          </cell>
        </row>
        <row r="276">
          <cell r="A276">
            <v>10</v>
          </cell>
          <cell r="C276" t="str">
            <v>т</v>
          </cell>
          <cell r="F276">
            <v>0</v>
          </cell>
          <cell r="H276">
            <v>0</v>
          </cell>
          <cell r="I276" t="e">
            <v>#DIV/0!</v>
          </cell>
          <cell r="J276">
            <v>0</v>
          </cell>
          <cell r="M276" t="str">
            <v>Калининский</v>
          </cell>
        </row>
        <row r="277">
          <cell r="M277" t="str">
            <v>Калининский</v>
          </cell>
        </row>
        <row r="278">
          <cell r="B278" t="str">
            <v>Заготовительно-складские расходы</v>
          </cell>
          <cell r="F278">
            <v>0</v>
          </cell>
          <cell r="H278">
            <v>0</v>
          </cell>
          <cell r="I278" t="e">
            <v>#DIV/0!</v>
          </cell>
          <cell r="J278">
            <v>0</v>
          </cell>
          <cell r="M278" t="str">
            <v>Калининский</v>
          </cell>
        </row>
        <row r="279">
          <cell r="A279">
            <v>1</v>
          </cell>
          <cell r="B279" t="str">
            <v>ПГС</v>
          </cell>
          <cell r="C279" t="str">
            <v>руб</v>
          </cell>
          <cell r="E279">
            <v>25052.68</v>
          </cell>
          <cell r="F279">
            <v>0</v>
          </cell>
          <cell r="H279">
            <v>0</v>
          </cell>
          <cell r="I279" t="e">
            <v>#DIV/0!</v>
          </cell>
          <cell r="J279">
            <v>0</v>
          </cell>
          <cell r="M279" t="str">
            <v>Калининский</v>
          </cell>
        </row>
        <row r="280">
          <cell r="A280">
            <v>2</v>
          </cell>
          <cell r="B280" t="str">
            <v xml:space="preserve">Битум жидкий </v>
          </cell>
          <cell r="C280" t="str">
            <v>руб</v>
          </cell>
          <cell r="E280">
            <v>1305.42</v>
          </cell>
          <cell r="F280">
            <v>0</v>
          </cell>
          <cell r="H280">
            <v>0</v>
          </cell>
          <cell r="I280" t="e">
            <v>#DIV/0!</v>
          </cell>
          <cell r="J280">
            <v>0</v>
          </cell>
          <cell r="M280" t="str">
            <v>Калининский</v>
          </cell>
        </row>
        <row r="281">
          <cell r="A281">
            <v>3</v>
          </cell>
          <cell r="B281" t="str">
            <v>Битум вязкий</v>
          </cell>
          <cell r="C281" t="str">
            <v>руб</v>
          </cell>
          <cell r="E281">
            <v>2323.59</v>
          </cell>
          <cell r="F281">
            <v>0</v>
          </cell>
          <cell r="H281">
            <v>0</v>
          </cell>
          <cell r="I281" t="e">
            <v>#DIV/0!</v>
          </cell>
          <cell r="J281">
            <v>0</v>
          </cell>
          <cell r="M281" t="str">
            <v>Калининский</v>
          </cell>
        </row>
        <row r="282">
          <cell r="A282">
            <v>4</v>
          </cell>
          <cell r="B282" t="str">
            <v>М/з а/ бетонная смесь (выравн.сл)</v>
          </cell>
          <cell r="C282" t="str">
            <v>руб</v>
          </cell>
          <cell r="E282">
            <v>28129.91</v>
          </cell>
          <cell r="F282">
            <v>0</v>
          </cell>
          <cell r="H282">
            <v>0</v>
          </cell>
          <cell r="I282" t="e">
            <v>#DIV/0!</v>
          </cell>
          <cell r="J282">
            <v>0</v>
          </cell>
          <cell r="M282" t="str">
            <v>Калининский</v>
          </cell>
        </row>
        <row r="283">
          <cell r="A283">
            <v>5</v>
          </cell>
          <cell r="B283" t="str">
            <v>черный щебень</v>
          </cell>
          <cell r="C283" t="str">
            <v>руб</v>
          </cell>
          <cell r="E283">
            <v>13514.2</v>
          </cell>
          <cell r="F283">
            <v>0</v>
          </cell>
          <cell r="H283">
            <v>0</v>
          </cell>
          <cell r="I283" t="e">
            <v>#DIV/0!</v>
          </cell>
          <cell r="J283">
            <v>0</v>
          </cell>
          <cell r="M283" t="str">
            <v>Калининский</v>
          </cell>
        </row>
        <row r="284">
          <cell r="A284">
            <v>6</v>
          </cell>
          <cell r="B284" t="str">
            <v>М/з а/ бетонная смесь (слой покрытия)</v>
          </cell>
          <cell r="C284" t="str">
            <v>руб</v>
          </cell>
          <cell r="E284">
            <v>75540.759999999995</v>
          </cell>
          <cell r="F284">
            <v>0</v>
          </cell>
          <cell r="H284">
            <v>0</v>
          </cell>
          <cell r="I284" t="e">
            <v>#DIV/0!</v>
          </cell>
          <cell r="J284">
            <v>0</v>
          </cell>
          <cell r="M284" t="str">
            <v>Калининский</v>
          </cell>
        </row>
        <row r="285">
          <cell r="A285">
            <v>7</v>
          </cell>
          <cell r="B285" t="str">
            <v>Прочие материалы</v>
          </cell>
          <cell r="C285" t="str">
            <v>руб</v>
          </cell>
          <cell r="E285">
            <v>776.13</v>
          </cell>
          <cell r="F285">
            <v>0</v>
          </cell>
          <cell r="H285">
            <v>0</v>
          </cell>
          <cell r="I285" t="e">
            <v>#DIV/0!</v>
          </cell>
          <cell r="J285">
            <v>0</v>
          </cell>
          <cell r="M285" t="str">
            <v>Калининский</v>
          </cell>
        </row>
        <row r="286">
          <cell r="A286">
            <v>8</v>
          </cell>
          <cell r="B286" t="str">
            <v>0</v>
          </cell>
          <cell r="C286" t="str">
            <v>руб</v>
          </cell>
          <cell r="E286">
            <v>0</v>
          </cell>
          <cell r="F286">
            <v>0</v>
          </cell>
          <cell r="H286">
            <v>0</v>
          </cell>
          <cell r="I286" t="e">
            <v>#DIV/0!</v>
          </cell>
          <cell r="J286">
            <v>0</v>
          </cell>
          <cell r="M286" t="str">
            <v>Калининский</v>
          </cell>
        </row>
        <row r="287">
          <cell r="A287">
            <v>9</v>
          </cell>
          <cell r="B287" t="str">
            <v>0</v>
          </cell>
          <cell r="C287" t="str">
            <v>руб</v>
          </cell>
          <cell r="E287">
            <v>0</v>
          </cell>
          <cell r="F287">
            <v>0</v>
          </cell>
          <cell r="H287">
            <v>0</v>
          </cell>
          <cell r="I287" t="e">
            <v>#DIV/0!</v>
          </cell>
          <cell r="J287">
            <v>0</v>
          </cell>
          <cell r="M287" t="str">
            <v>Калининский</v>
          </cell>
        </row>
        <row r="288">
          <cell r="A288">
            <v>10</v>
          </cell>
          <cell r="B288" t="str">
            <v>0</v>
          </cell>
          <cell r="C288" t="str">
            <v>руб</v>
          </cell>
          <cell r="E288">
            <v>0</v>
          </cell>
          <cell r="F288">
            <v>0</v>
          </cell>
          <cell r="H288">
            <v>0</v>
          </cell>
          <cell r="I288" t="e">
            <v>#DIV/0!</v>
          </cell>
          <cell r="J288">
            <v>0</v>
          </cell>
          <cell r="M288" t="str">
            <v>Калининский</v>
          </cell>
        </row>
        <row r="289">
          <cell r="M289" t="str">
            <v>Калининский</v>
          </cell>
        </row>
        <row r="290">
          <cell r="M290" t="str">
            <v>Калининский</v>
          </cell>
        </row>
        <row r="291">
          <cell r="B291" t="str">
            <v>Составил:______________________________</v>
          </cell>
          <cell r="M291" t="str">
            <v>Калининский</v>
          </cell>
        </row>
        <row r="292">
          <cell r="M292" t="str">
            <v>Калининский</v>
          </cell>
        </row>
        <row r="293">
          <cell r="B293" t="str">
            <v>Начальник ТДО: ________________________</v>
          </cell>
        </row>
        <row r="294">
          <cell r="B294" t="str">
            <v>Район: Калининский \ Тимашевск - Славянск-на-Кубани - Крымск ;  км: 26+900-27+300 (0,4 км) \ Устройство тротуаров и пешеходных дорожек</v>
          </cell>
          <cell r="K294">
            <v>101</v>
          </cell>
          <cell r="M294" t="str">
            <v>Калининский</v>
          </cell>
        </row>
        <row r="295">
          <cell r="A295" t="str">
            <v>101-1.1.</v>
          </cell>
          <cell r="B295" t="str">
            <v>Фонд заработной платы</v>
          </cell>
          <cell r="D295">
            <v>530</v>
          </cell>
          <cell r="F295">
            <v>375</v>
          </cell>
          <cell r="H295">
            <v>7515</v>
          </cell>
          <cell r="I295">
            <v>20</v>
          </cell>
          <cell r="J295">
            <v>7140</v>
          </cell>
          <cell r="K295">
            <v>101</v>
          </cell>
          <cell r="L295" t="str">
            <v>1.1.</v>
          </cell>
          <cell r="M295" t="str">
            <v>Калининский</v>
          </cell>
        </row>
        <row r="296">
          <cell r="A296" t="str">
            <v>101-1.1.1.</v>
          </cell>
          <cell r="B296" t="str">
            <v>Основные рабочие</v>
          </cell>
          <cell r="C296" t="str">
            <v>ч/ч</v>
          </cell>
          <cell r="D296">
            <v>498</v>
          </cell>
          <cell r="E296">
            <v>0.70699999999999996</v>
          </cell>
          <cell r="F296">
            <v>352</v>
          </cell>
          <cell r="G296">
            <v>14.17</v>
          </cell>
          <cell r="H296">
            <v>7057</v>
          </cell>
          <cell r="I296">
            <v>20.05</v>
          </cell>
          <cell r="J296">
            <v>6705</v>
          </cell>
          <cell r="K296">
            <v>101</v>
          </cell>
          <cell r="L296" t="str">
            <v>1.1.1.</v>
          </cell>
          <cell r="M296" t="str">
            <v>Калининский</v>
          </cell>
        </row>
        <row r="297">
          <cell r="A297" t="str">
            <v>101-1.1.2.</v>
          </cell>
          <cell r="B297" t="str">
            <v>Машинисты</v>
          </cell>
          <cell r="C297" t="str">
            <v>ч/ч</v>
          </cell>
          <cell r="D297">
            <v>32</v>
          </cell>
          <cell r="E297">
            <v>0.71899999999999997</v>
          </cell>
          <cell r="F297">
            <v>23</v>
          </cell>
          <cell r="G297">
            <v>14.31</v>
          </cell>
          <cell r="H297">
            <v>458</v>
          </cell>
          <cell r="I297">
            <v>19.91</v>
          </cell>
          <cell r="J297">
            <v>435</v>
          </cell>
          <cell r="K297">
            <v>101</v>
          </cell>
          <cell r="L297" t="str">
            <v>1.1.2.</v>
          </cell>
          <cell r="M297" t="str">
            <v>Калининский</v>
          </cell>
        </row>
        <row r="298">
          <cell r="M298" t="str">
            <v>Калининский</v>
          </cell>
        </row>
        <row r="299">
          <cell r="A299" t="str">
            <v>101-1.2.</v>
          </cell>
          <cell r="B299" t="str">
            <v>Технические ресурсы по нормам СНиП (без зарботной платы машиниста)</v>
          </cell>
          <cell r="F299">
            <v>52</v>
          </cell>
          <cell r="H299">
            <v>2082</v>
          </cell>
          <cell r="I299">
            <v>39.71</v>
          </cell>
          <cell r="J299">
            <v>2029</v>
          </cell>
          <cell r="K299">
            <v>101</v>
          </cell>
          <cell r="L299" t="str">
            <v>1.2.</v>
          </cell>
          <cell r="M299" t="str">
            <v>Калининский</v>
          </cell>
        </row>
        <row r="300">
          <cell r="A300">
            <v>1</v>
          </cell>
          <cell r="B300" t="str">
            <v>Автогрейдер средний</v>
          </cell>
          <cell r="C300" t="str">
            <v>м/ч</v>
          </cell>
          <cell r="D300">
            <v>0</v>
          </cell>
          <cell r="E300">
            <v>2.48</v>
          </cell>
          <cell r="F300">
            <v>1</v>
          </cell>
          <cell r="G300">
            <v>125.03</v>
          </cell>
          <cell r="H300">
            <v>31</v>
          </cell>
          <cell r="I300">
            <v>50.42</v>
          </cell>
          <cell r="J300">
            <v>31</v>
          </cell>
          <cell r="M300" t="str">
            <v>Калининский</v>
          </cell>
        </row>
        <row r="301">
          <cell r="A301">
            <v>2</v>
          </cell>
          <cell r="B301" t="str">
            <v>Бульдозер</v>
          </cell>
          <cell r="C301" t="str">
            <v>м/ч</v>
          </cell>
          <cell r="D301">
            <v>0</v>
          </cell>
          <cell r="E301">
            <v>2.2999999999999998</v>
          </cell>
          <cell r="F301">
            <v>0</v>
          </cell>
          <cell r="G301">
            <v>113.86</v>
          </cell>
          <cell r="H301">
            <v>8</v>
          </cell>
          <cell r="I301">
            <v>49.5</v>
          </cell>
          <cell r="J301">
            <v>8</v>
          </cell>
          <cell r="M301" t="str">
            <v>Калининский</v>
          </cell>
        </row>
        <row r="302">
          <cell r="A302">
            <v>3</v>
          </cell>
          <cell r="B302" t="str">
            <v>Машина поливомоечная</v>
          </cell>
          <cell r="C302" t="str">
            <v>м/ч</v>
          </cell>
          <cell r="D302">
            <v>2</v>
          </cell>
          <cell r="E302">
            <v>6.16</v>
          </cell>
          <cell r="F302">
            <v>12</v>
          </cell>
          <cell r="G302">
            <v>197.6</v>
          </cell>
          <cell r="H302">
            <v>391</v>
          </cell>
          <cell r="I302">
            <v>32.08</v>
          </cell>
          <cell r="J302">
            <v>379</v>
          </cell>
          <cell r="M302" t="str">
            <v>Калининский</v>
          </cell>
        </row>
        <row r="303">
          <cell r="A303">
            <v>4</v>
          </cell>
          <cell r="B303" t="str">
            <v xml:space="preserve">Каток  самоходный гладкий 5 тн </v>
          </cell>
          <cell r="C303" t="str">
            <v>м/ч</v>
          </cell>
          <cell r="D303">
            <v>5</v>
          </cell>
          <cell r="E303">
            <v>1.81</v>
          </cell>
          <cell r="F303">
            <v>10</v>
          </cell>
          <cell r="G303">
            <v>80.16</v>
          </cell>
          <cell r="H303">
            <v>422</v>
          </cell>
          <cell r="I303">
            <v>44.29</v>
          </cell>
          <cell r="J303">
            <v>412</v>
          </cell>
          <cell r="M303" t="str">
            <v>Калининский</v>
          </cell>
        </row>
        <row r="304">
          <cell r="A304">
            <v>5</v>
          </cell>
          <cell r="B304" t="str">
            <v xml:space="preserve">Экскаватор </v>
          </cell>
          <cell r="C304" t="str">
            <v>м/ч</v>
          </cell>
          <cell r="D304">
            <v>0</v>
          </cell>
          <cell r="E304">
            <v>2.72</v>
          </cell>
          <cell r="F304">
            <v>0</v>
          </cell>
          <cell r="G304">
            <v>103.25</v>
          </cell>
          <cell r="H304">
            <v>9</v>
          </cell>
          <cell r="I304">
            <v>37.96</v>
          </cell>
          <cell r="J304">
            <v>9</v>
          </cell>
          <cell r="M304" t="str">
            <v>Калининский</v>
          </cell>
        </row>
        <row r="305">
          <cell r="A305">
            <v>6</v>
          </cell>
          <cell r="B305" t="str">
            <v>Машина бурильно-крановая</v>
          </cell>
          <cell r="C305" t="str">
            <v>м/ч</v>
          </cell>
          <cell r="D305">
            <v>3</v>
          </cell>
          <cell r="E305">
            <v>2.41</v>
          </cell>
          <cell r="F305">
            <v>6</v>
          </cell>
          <cell r="G305">
            <v>129.44999999999999</v>
          </cell>
          <cell r="H305">
            <v>344</v>
          </cell>
          <cell r="I305">
            <v>53.71</v>
          </cell>
          <cell r="J305">
            <v>338</v>
          </cell>
          <cell r="M305" t="str">
            <v>Калининский</v>
          </cell>
        </row>
        <row r="306">
          <cell r="A306">
            <v>7</v>
          </cell>
          <cell r="B306" t="str">
            <v>Автокран 3т</v>
          </cell>
          <cell r="C306" t="str">
            <v>м/ч</v>
          </cell>
          <cell r="D306">
            <v>6</v>
          </cell>
          <cell r="E306">
            <v>4.01</v>
          </cell>
          <cell r="F306">
            <v>23</v>
          </cell>
          <cell r="G306">
            <v>152.22</v>
          </cell>
          <cell r="H306">
            <v>868</v>
          </cell>
          <cell r="I306">
            <v>37.96</v>
          </cell>
          <cell r="J306">
            <v>845</v>
          </cell>
          <cell r="M306" t="str">
            <v>Калининский</v>
          </cell>
        </row>
        <row r="307">
          <cell r="A307">
            <v>8</v>
          </cell>
          <cell r="B307" t="str">
            <v>Прочие машины</v>
          </cell>
          <cell r="C307" t="str">
            <v>руб</v>
          </cell>
          <cell r="D307">
            <v>0</v>
          </cell>
          <cell r="E307">
            <v>1</v>
          </cell>
          <cell r="F307">
            <v>0</v>
          </cell>
          <cell r="G307">
            <v>20</v>
          </cell>
          <cell r="H307">
            <v>8</v>
          </cell>
          <cell r="I307">
            <v>20</v>
          </cell>
          <cell r="J307">
            <v>8</v>
          </cell>
          <cell r="M307" t="str">
            <v>Калининский</v>
          </cell>
        </row>
        <row r="308">
          <cell r="A308">
            <v>9</v>
          </cell>
          <cell r="F308">
            <v>0</v>
          </cell>
          <cell r="H308">
            <v>0</v>
          </cell>
          <cell r="I308" t="e">
            <v>#DIV/0!</v>
          </cell>
          <cell r="J308">
            <v>0</v>
          </cell>
          <cell r="M308" t="str">
            <v>Калининский</v>
          </cell>
        </row>
        <row r="309">
          <cell r="A309">
            <v>10</v>
          </cell>
          <cell r="F309">
            <v>0</v>
          </cell>
          <cell r="H309">
            <v>0</v>
          </cell>
          <cell r="I309" t="e">
            <v>#DIV/0!</v>
          </cell>
          <cell r="J309">
            <v>0</v>
          </cell>
          <cell r="M309" t="str">
            <v>Калининский</v>
          </cell>
        </row>
        <row r="310">
          <cell r="M310" t="str">
            <v>Калининский</v>
          </cell>
        </row>
        <row r="311">
          <cell r="A311" t="str">
            <v>101-1.3.</v>
          </cell>
          <cell r="B311" t="str">
            <v>Материалы</v>
          </cell>
          <cell r="F311">
            <v>2437</v>
          </cell>
          <cell r="H311">
            <v>79047</v>
          </cell>
          <cell r="I311">
            <v>32.43</v>
          </cell>
          <cell r="J311">
            <v>76610</v>
          </cell>
          <cell r="K311">
            <v>101</v>
          </cell>
          <cell r="L311" t="str">
            <v>1.3.</v>
          </cell>
          <cell r="M311" t="str">
            <v>Калининский</v>
          </cell>
        </row>
        <row r="312">
          <cell r="B312" t="str">
            <v>Материальные ресурсы по нормам СНиП</v>
          </cell>
          <cell r="F312">
            <v>1654</v>
          </cell>
          <cell r="H312">
            <v>60802</v>
          </cell>
          <cell r="I312">
            <v>36.75</v>
          </cell>
          <cell r="J312">
            <v>59147</v>
          </cell>
          <cell r="M312" t="str">
            <v>Калининский</v>
          </cell>
        </row>
        <row r="313">
          <cell r="A313">
            <v>1</v>
          </cell>
          <cell r="B313" t="str">
            <v>ПГС</v>
          </cell>
          <cell r="C313" t="str">
            <v>м3</v>
          </cell>
          <cell r="D313">
            <v>54</v>
          </cell>
          <cell r="E313">
            <v>1.9</v>
          </cell>
          <cell r="F313">
            <v>103</v>
          </cell>
          <cell r="G313">
            <v>40.57</v>
          </cell>
          <cell r="H313">
            <v>2191</v>
          </cell>
          <cell r="I313">
            <v>21.35</v>
          </cell>
          <cell r="J313">
            <v>2088</v>
          </cell>
          <cell r="M313" t="str">
            <v>Калининский</v>
          </cell>
        </row>
        <row r="314">
          <cell r="A314">
            <v>2</v>
          </cell>
          <cell r="B314" t="str">
            <v>М/з а/б смесь</v>
          </cell>
          <cell r="C314" t="str">
            <v>т</v>
          </cell>
          <cell r="D314">
            <v>25.7</v>
          </cell>
          <cell r="E314">
            <v>13.8</v>
          </cell>
          <cell r="F314">
            <v>355</v>
          </cell>
          <cell r="G314">
            <v>569.5</v>
          </cell>
          <cell r="H314">
            <v>14636</v>
          </cell>
          <cell r="I314">
            <v>41.27</v>
          </cell>
          <cell r="J314">
            <v>14281</v>
          </cell>
          <cell r="M314" t="str">
            <v>Калининский</v>
          </cell>
        </row>
        <row r="315">
          <cell r="A315">
            <v>3</v>
          </cell>
          <cell r="B315" t="str">
            <v>Бортовой камень Бр 100.30.18</v>
          </cell>
          <cell r="C315" t="str">
            <v>м3</v>
          </cell>
          <cell r="D315">
            <v>5.4</v>
          </cell>
          <cell r="E315">
            <v>43.6</v>
          </cell>
          <cell r="F315">
            <v>235</v>
          </cell>
          <cell r="G315">
            <v>1333.33</v>
          </cell>
          <cell r="H315">
            <v>7200</v>
          </cell>
          <cell r="I315">
            <v>30.58</v>
          </cell>
          <cell r="J315">
            <v>6965</v>
          </cell>
          <cell r="M315" t="str">
            <v>Калининский</v>
          </cell>
        </row>
        <row r="316">
          <cell r="A316">
            <v>4</v>
          </cell>
          <cell r="B316" t="str">
            <v>Бортовой камень Бр 100.20.8</v>
          </cell>
          <cell r="C316" t="str">
            <v>м3</v>
          </cell>
          <cell r="D316">
            <v>1.6</v>
          </cell>
          <cell r="E316">
            <v>49.4</v>
          </cell>
          <cell r="F316">
            <v>79</v>
          </cell>
          <cell r="G316">
            <v>1333.33</v>
          </cell>
          <cell r="H316">
            <v>2133</v>
          </cell>
          <cell r="I316">
            <v>26.99</v>
          </cell>
          <cell r="J316">
            <v>2054</v>
          </cell>
          <cell r="M316" t="str">
            <v>Калининский</v>
          </cell>
        </row>
        <row r="317">
          <cell r="A317">
            <v>5</v>
          </cell>
          <cell r="B317" t="str">
            <v>Барьерное ограждение</v>
          </cell>
          <cell r="C317" t="str">
            <v>т</v>
          </cell>
          <cell r="D317">
            <v>1.8</v>
          </cell>
          <cell r="E317">
            <v>432.5</v>
          </cell>
          <cell r="F317">
            <v>779</v>
          </cell>
          <cell r="G317">
            <v>17955</v>
          </cell>
          <cell r="H317">
            <v>32319</v>
          </cell>
          <cell r="I317">
            <v>41.51</v>
          </cell>
          <cell r="J317">
            <v>31541</v>
          </cell>
          <cell r="M317" t="str">
            <v>Калининский</v>
          </cell>
        </row>
        <row r="318">
          <cell r="A318">
            <v>6</v>
          </cell>
          <cell r="B318" t="str">
            <v>Бетон М 100</v>
          </cell>
          <cell r="C318" t="str">
            <v>м3</v>
          </cell>
          <cell r="D318">
            <v>3</v>
          </cell>
          <cell r="E318">
            <v>16.53</v>
          </cell>
          <cell r="F318">
            <v>50</v>
          </cell>
          <cell r="G318">
            <v>525</v>
          </cell>
          <cell r="H318">
            <v>1575</v>
          </cell>
          <cell r="I318">
            <v>31.76</v>
          </cell>
          <cell r="J318">
            <v>1525</v>
          </cell>
          <cell r="M318" t="str">
            <v>Калининский</v>
          </cell>
        </row>
        <row r="319">
          <cell r="A319">
            <v>7</v>
          </cell>
          <cell r="B319" t="str">
            <v>Краска масляная</v>
          </cell>
          <cell r="C319" t="str">
            <v>кг</v>
          </cell>
          <cell r="D319">
            <v>18</v>
          </cell>
          <cell r="E319">
            <v>1.8</v>
          </cell>
          <cell r="F319">
            <v>32</v>
          </cell>
          <cell r="G319">
            <v>29.17</v>
          </cell>
          <cell r="H319">
            <v>525</v>
          </cell>
          <cell r="I319">
            <v>16.21</v>
          </cell>
          <cell r="J319">
            <v>493</v>
          </cell>
          <cell r="M319" t="str">
            <v>Калининский</v>
          </cell>
        </row>
        <row r="320">
          <cell r="A320">
            <v>8</v>
          </cell>
          <cell r="B320" t="str">
            <v>Прочие материалы</v>
          </cell>
          <cell r="C320" t="str">
            <v>руб</v>
          </cell>
          <cell r="D320">
            <v>22.22</v>
          </cell>
          <cell r="E320">
            <v>1</v>
          </cell>
          <cell r="F320">
            <v>22</v>
          </cell>
          <cell r="G320">
            <v>10</v>
          </cell>
          <cell r="H320">
            <v>222</v>
          </cell>
          <cell r="I320">
            <v>10</v>
          </cell>
          <cell r="J320">
            <v>200</v>
          </cell>
          <cell r="M320" t="str">
            <v>Калининский</v>
          </cell>
        </row>
        <row r="321">
          <cell r="A321">
            <v>9</v>
          </cell>
          <cell r="F321">
            <v>0</v>
          </cell>
          <cell r="H321">
            <v>0</v>
          </cell>
          <cell r="I321" t="e">
            <v>#DIV/0!</v>
          </cell>
          <cell r="J321">
            <v>0</v>
          </cell>
          <cell r="M321" t="str">
            <v>Калининский</v>
          </cell>
        </row>
        <row r="322">
          <cell r="A322">
            <v>10</v>
          </cell>
          <cell r="F322">
            <v>0</v>
          </cell>
          <cell r="H322">
            <v>0</v>
          </cell>
          <cell r="I322" t="e">
            <v>#DIV/0!</v>
          </cell>
          <cell r="J322">
            <v>0</v>
          </cell>
          <cell r="M322" t="str">
            <v>Калининский</v>
          </cell>
        </row>
        <row r="323">
          <cell r="M323" t="str">
            <v>Калининский</v>
          </cell>
        </row>
        <row r="324">
          <cell r="B324" t="str">
            <v>Транспортировка материалов, т (вид транспорта, км)</v>
          </cell>
          <cell r="F324">
            <v>783</v>
          </cell>
          <cell r="H324">
            <v>18245</v>
          </cell>
          <cell r="I324">
            <v>23.31</v>
          </cell>
          <cell r="J324">
            <v>17463</v>
          </cell>
          <cell r="M324" t="str">
            <v>Калининский</v>
          </cell>
        </row>
        <row r="325">
          <cell r="A325">
            <v>1</v>
          </cell>
          <cell r="B325" t="str">
            <v>ПГС  139 км</v>
          </cell>
          <cell r="C325" t="str">
            <v>т</v>
          </cell>
          <cell r="D325">
            <v>97.2</v>
          </cell>
          <cell r="E325">
            <v>6.27</v>
          </cell>
          <cell r="F325">
            <v>609</v>
          </cell>
          <cell r="G325">
            <v>136.4</v>
          </cell>
          <cell r="H325">
            <v>13258</v>
          </cell>
          <cell r="I325">
            <v>21.75</v>
          </cell>
          <cell r="J325">
            <v>12649</v>
          </cell>
          <cell r="M325" t="str">
            <v>Калининский</v>
          </cell>
        </row>
        <row r="326">
          <cell r="A326">
            <v>2</v>
          </cell>
          <cell r="B326" t="str">
            <v>М/з а/б смесь 2 км</v>
          </cell>
          <cell r="C326" t="str">
            <v>т</v>
          </cell>
          <cell r="D326">
            <v>25.7</v>
          </cell>
          <cell r="E326">
            <v>0.36</v>
          </cell>
          <cell r="F326">
            <v>9</v>
          </cell>
          <cell r="G326">
            <v>1.06</v>
          </cell>
          <cell r="H326">
            <v>27</v>
          </cell>
          <cell r="I326">
            <v>2.94</v>
          </cell>
          <cell r="J326">
            <v>18</v>
          </cell>
          <cell r="M326" t="str">
            <v>Калининский</v>
          </cell>
        </row>
        <row r="327">
          <cell r="A327">
            <v>3</v>
          </cell>
          <cell r="B327" t="str">
            <v>Бортовой камень Бр 100.30.18  222 км</v>
          </cell>
          <cell r="C327" t="str">
            <v>т</v>
          </cell>
          <cell r="D327">
            <v>13.5</v>
          </cell>
          <cell r="E327">
            <v>8.7200000000000006</v>
          </cell>
          <cell r="F327">
            <v>118</v>
          </cell>
          <cell r="G327">
            <v>271.64999999999998</v>
          </cell>
          <cell r="H327">
            <v>3667</v>
          </cell>
          <cell r="I327">
            <v>31.15</v>
          </cell>
          <cell r="J327">
            <v>3550</v>
          </cell>
          <cell r="M327" t="str">
            <v>Калининский</v>
          </cell>
        </row>
        <row r="328">
          <cell r="A328">
            <v>4</v>
          </cell>
          <cell r="B328" t="str">
            <v>Бортовой камень Бр 100.20.8  222 км</v>
          </cell>
          <cell r="C328" t="str">
            <v>т</v>
          </cell>
          <cell r="D328">
            <v>4.12</v>
          </cell>
          <cell r="E328">
            <v>8.7200000000000006</v>
          </cell>
          <cell r="F328">
            <v>36</v>
          </cell>
          <cell r="G328">
            <v>271.64999999999998</v>
          </cell>
          <cell r="H328">
            <v>1118</v>
          </cell>
          <cell r="I328">
            <v>31.15</v>
          </cell>
          <cell r="J328">
            <v>1082</v>
          </cell>
          <cell r="M328" t="str">
            <v>Калининский</v>
          </cell>
        </row>
        <row r="329">
          <cell r="A329">
            <v>5</v>
          </cell>
          <cell r="B329" t="str">
            <v>Барьерное ограждение 82 км</v>
          </cell>
          <cell r="C329" t="str">
            <v>т</v>
          </cell>
          <cell r="D329">
            <v>1.8</v>
          </cell>
          <cell r="E329">
            <v>4.74</v>
          </cell>
          <cell r="F329">
            <v>9</v>
          </cell>
          <cell r="G329">
            <v>97.2</v>
          </cell>
          <cell r="H329">
            <v>175</v>
          </cell>
          <cell r="I329">
            <v>20.51</v>
          </cell>
          <cell r="J329">
            <v>166</v>
          </cell>
          <cell r="M329" t="str">
            <v>Калининский</v>
          </cell>
        </row>
        <row r="330">
          <cell r="A330">
            <v>6</v>
          </cell>
          <cell r="B330" t="str">
            <v>Бетон М 100    2 км</v>
          </cell>
          <cell r="C330" t="str">
            <v>м3</v>
          </cell>
          <cell r="D330">
            <v>3</v>
          </cell>
          <cell r="E330">
            <v>0.65</v>
          </cell>
          <cell r="F330">
            <v>2</v>
          </cell>
          <cell r="H330">
            <v>0</v>
          </cell>
          <cell r="I330">
            <v>0</v>
          </cell>
          <cell r="J330">
            <v>-2</v>
          </cell>
          <cell r="M330" t="str">
            <v>Калининский</v>
          </cell>
        </row>
        <row r="331">
          <cell r="A331">
            <v>7</v>
          </cell>
          <cell r="B331" t="str">
            <v>Краска масляная</v>
          </cell>
          <cell r="C331" t="str">
            <v>кг</v>
          </cell>
          <cell r="D331">
            <v>18</v>
          </cell>
          <cell r="F331">
            <v>0</v>
          </cell>
          <cell r="H331">
            <v>0</v>
          </cell>
          <cell r="I331" t="e">
            <v>#DIV/0!</v>
          </cell>
          <cell r="J331">
            <v>0</v>
          </cell>
          <cell r="M331" t="str">
            <v>Калининский</v>
          </cell>
        </row>
        <row r="332">
          <cell r="A332">
            <v>8</v>
          </cell>
          <cell r="C332" t="str">
            <v>т</v>
          </cell>
          <cell r="F332">
            <v>0</v>
          </cell>
          <cell r="H332">
            <v>0</v>
          </cell>
          <cell r="I332" t="e">
            <v>#DIV/0!</v>
          </cell>
          <cell r="J332">
            <v>0</v>
          </cell>
          <cell r="M332" t="str">
            <v>Калининский</v>
          </cell>
        </row>
        <row r="333">
          <cell r="A333">
            <v>9</v>
          </cell>
          <cell r="C333" t="str">
            <v>т</v>
          </cell>
          <cell r="F333">
            <v>0</v>
          </cell>
          <cell r="H333">
            <v>0</v>
          </cell>
          <cell r="I333" t="e">
            <v>#DIV/0!</v>
          </cell>
          <cell r="J333">
            <v>0</v>
          </cell>
          <cell r="M333" t="str">
            <v>Калининский</v>
          </cell>
        </row>
        <row r="334">
          <cell r="A334">
            <v>10</v>
          </cell>
          <cell r="C334" t="str">
            <v>т</v>
          </cell>
          <cell r="F334">
            <v>0</v>
          </cell>
          <cell r="H334">
            <v>0</v>
          </cell>
          <cell r="I334" t="e">
            <v>#DIV/0!</v>
          </cell>
          <cell r="J334">
            <v>0</v>
          </cell>
          <cell r="M334" t="str">
            <v>Калининский</v>
          </cell>
        </row>
        <row r="335">
          <cell r="M335" t="str">
            <v>Калининский</v>
          </cell>
        </row>
        <row r="336">
          <cell r="B336" t="str">
            <v>Заготовительно-складские расходы</v>
          </cell>
          <cell r="F336">
            <v>0</v>
          </cell>
          <cell r="H336">
            <v>0</v>
          </cell>
          <cell r="I336" t="e">
            <v>#DIV/0!</v>
          </cell>
          <cell r="J336">
            <v>0</v>
          </cell>
          <cell r="M336" t="str">
            <v>Калининский</v>
          </cell>
        </row>
        <row r="337">
          <cell r="A337">
            <v>1</v>
          </cell>
          <cell r="B337" t="str">
            <v>ПГС</v>
          </cell>
          <cell r="C337" t="str">
            <v>руб</v>
          </cell>
          <cell r="E337">
            <v>712.04</v>
          </cell>
          <cell r="F337">
            <v>0</v>
          </cell>
          <cell r="H337">
            <v>0</v>
          </cell>
          <cell r="I337" t="e">
            <v>#DIV/0!</v>
          </cell>
          <cell r="J337">
            <v>0</v>
          </cell>
          <cell r="M337" t="str">
            <v>Калининский</v>
          </cell>
        </row>
        <row r="338">
          <cell r="A338">
            <v>2</v>
          </cell>
          <cell r="B338" t="str">
            <v>М/з а/б смесь</v>
          </cell>
          <cell r="C338" t="str">
            <v>руб</v>
          </cell>
          <cell r="E338">
            <v>363.91</v>
          </cell>
          <cell r="F338">
            <v>0</v>
          </cell>
          <cell r="H338">
            <v>0</v>
          </cell>
          <cell r="I338" t="e">
            <v>#DIV/0!</v>
          </cell>
          <cell r="J338">
            <v>0</v>
          </cell>
          <cell r="M338" t="str">
            <v>Калининский</v>
          </cell>
        </row>
        <row r="339">
          <cell r="A339">
            <v>3</v>
          </cell>
          <cell r="B339" t="str">
            <v>Бортовой камень Бр 100.30.18</v>
          </cell>
          <cell r="C339" t="str">
            <v>руб</v>
          </cell>
          <cell r="E339">
            <v>353.19</v>
          </cell>
          <cell r="F339">
            <v>0</v>
          </cell>
          <cell r="H339">
            <v>0</v>
          </cell>
          <cell r="I339" t="e">
            <v>#DIV/0!</v>
          </cell>
          <cell r="J339">
            <v>0</v>
          </cell>
          <cell r="M339" t="str">
            <v>Калининский</v>
          </cell>
        </row>
        <row r="340">
          <cell r="A340">
            <v>4</v>
          </cell>
          <cell r="B340" t="str">
            <v>Бортовой камень Бр 100.20.8</v>
          </cell>
          <cell r="C340" t="str">
            <v>руб</v>
          </cell>
          <cell r="E340">
            <v>114.93</v>
          </cell>
          <cell r="F340">
            <v>0</v>
          </cell>
          <cell r="H340">
            <v>0</v>
          </cell>
          <cell r="I340" t="e">
            <v>#DIV/0!</v>
          </cell>
          <cell r="J340">
            <v>0</v>
          </cell>
          <cell r="M340" t="str">
            <v>Калининский</v>
          </cell>
        </row>
        <row r="341">
          <cell r="A341">
            <v>5</v>
          </cell>
          <cell r="B341" t="str">
            <v>Барьерное ограждение</v>
          </cell>
          <cell r="C341" t="str">
            <v>руб</v>
          </cell>
          <cell r="E341">
            <v>787.03</v>
          </cell>
          <cell r="F341">
            <v>0</v>
          </cell>
          <cell r="H341">
            <v>0</v>
          </cell>
          <cell r="I341" t="e">
            <v>#DIV/0!</v>
          </cell>
          <cell r="J341">
            <v>0</v>
          </cell>
          <cell r="M341" t="str">
            <v>Калининский</v>
          </cell>
        </row>
        <row r="342">
          <cell r="A342">
            <v>6</v>
          </cell>
          <cell r="B342" t="str">
            <v>Бетон М 100</v>
          </cell>
          <cell r="C342" t="str">
            <v>руб</v>
          </cell>
          <cell r="E342">
            <v>51.54</v>
          </cell>
          <cell r="F342">
            <v>0</v>
          </cell>
          <cell r="H342">
            <v>0</v>
          </cell>
          <cell r="I342" t="e">
            <v>#DIV/0!</v>
          </cell>
          <cell r="J342">
            <v>0</v>
          </cell>
          <cell r="M342" t="str">
            <v>Калининский</v>
          </cell>
        </row>
        <row r="343">
          <cell r="A343">
            <v>7</v>
          </cell>
          <cell r="B343" t="str">
            <v>Краска масляная</v>
          </cell>
          <cell r="C343" t="str">
            <v>руб</v>
          </cell>
          <cell r="E343">
            <v>32.4</v>
          </cell>
          <cell r="F343">
            <v>0</v>
          </cell>
          <cell r="H343">
            <v>0</v>
          </cell>
          <cell r="I343" t="e">
            <v>#DIV/0!</v>
          </cell>
          <cell r="J343">
            <v>0</v>
          </cell>
          <cell r="M343" t="str">
            <v>Калининский</v>
          </cell>
        </row>
        <row r="344">
          <cell r="A344">
            <v>8</v>
          </cell>
          <cell r="B344" t="str">
            <v>Прочие материалы</v>
          </cell>
          <cell r="C344" t="str">
            <v>руб</v>
          </cell>
          <cell r="E344">
            <v>22.22</v>
          </cell>
          <cell r="F344">
            <v>0</v>
          </cell>
          <cell r="H344">
            <v>0</v>
          </cell>
          <cell r="I344" t="e">
            <v>#DIV/0!</v>
          </cell>
          <cell r="J344">
            <v>0</v>
          </cell>
          <cell r="M344" t="str">
            <v>Калининский</v>
          </cell>
        </row>
        <row r="345">
          <cell r="A345">
            <v>9</v>
          </cell>
          <cell r="B345" t="str">
            <v>0</v>
          </cell>
          <cell r="C345" t="str">
            <v>руб</v>
          </cell>
          <cell r="E345">
            <v>0</v>
          </cell>
          <cell r="F345">
            <v>0</v>
          </cell>
          <cell r="H345">
            <v>0</v>
          </cell>
          <cell r="I345" t="e">
            <v>#DIV/0!</v>
          </cell>
          <cell r="J345">
            <v>0</v>
          </cell>
          <cell r="M345" t="str">
            <v>Калининский</v>
          </cell>
        </row>
        <row r="346">
          <cell r="A346">
            <v>10</v>
          </cell>
          <cell r="B346" t="str">
            <v>0</v>
          </cell>
          <cell r="C346" t="str">
            <v>руб</v>
          </cell>
          <cell r="E346">
            <v>0</v>
          </cell>
          <cell r="F346">
            <v>0</v>
          </cell>
          <cell r="H346">
            <v>0</v>
          </cell>
          <cell r="I346" t="e">
            <v>#DIV/0!</v>
          </cell>
          <cell r="J346">
            <v>0</v>
          </cell>
          <cell r="M346" t="str">
            <v>Калининский</v>
          </cell>
        </row>
        <row r="347">
          <cell r="M347" t="str">
            <v>Калининский</v>
          </cell>
        </row>
        <row r="348">
          <cell r="M348" t="str">
            <v>Калининский</v>
          </cell>
        </row>
        <row r="349">
          <cell r="B349" t="str">
            <v>Составил:______________________________</v>
          </cell>
          <cell r="M349" t="str">
            <v>Калининский</v>
          </cell>
        </row>
        <row r="350">
          <cell r="M350" t="str">
            <v>Калининский</v>
          </cell>
        </row>
        <row r="351">
          <cell r="B351" t="str">
            <v>Начальник ТДО: ________________________</v>
          </cell>
        </row>
        <row r="352">
          <cell r="B352" t="str">
            <v>Район: Калининский \ Обход ст.Калининская ;  км: 2+500-4+500 (2 км) \ Устройство тротуаров и пешеходных дорожек</v>
          </cell>
          <cell r="K352">
            <v>102</v>
          </cell>
          <cell r="M352" t="str">
            <v>Калининский</v>
          </cell>
        </row>
        <row r="353">
          <cell r="A353" t="str">
            <v>102-1.1.</v>
          </cell>
          <cell r="B353" t="str">
            <v>Фонд заработной платы</v>
          </cell>
          <cell r="D353">
            <v>531</v>
          </cell>
          <cell r="F353">
            <v>376</v>
          </cell>
          <cell r="H353">
            <v>7551</v>
          </cell>
          <cell r="I353">
            <v>20</v>
          </cell>
          <cell r="J353">
            <v>7175</v>
          </cell>
          <cell r="K353">
            <v>102</v>
          </cell>
          <cell r="L353" t="str">
            <v>1.1.</v>
          </cell>
          <cell r="M353" t="str">
            <v>Калининский</v>
          </cell>
        </row>
        <row r="354">
          <cell r="A354" t="str">
            <v>102-1.1.1.</v>
          </cell>
          <cell r="B354" t="str">
            <v>Основные рабочие</v>
          </cell>
          <cell r="C354" t="str">
            <v>ч/ч</v>
          </cell>
          <cell r="D354">
            <v>337</v>
          </cell>
          <cell r="E354">
            <v>0.70599999999999996</v>
          </cell>
          <cell r="F354">
            <v>238</v>
          </cell>
          <cell r="G354">
            <v>14.17</v>
          </cell>
          <cell r="H354">
            <v>4775</v>
          </cell>
          <cell r="I354">
            <v>20.059999999999999</v>
          </cell>
          <cell r="J354">
            <v>4537</v>
          </cell>
          <cell r="K354">
            <v>102</v>
          </cell>
          <cell r="L354" t="str">
            <v>1.1.1.</v>
          </cell>
          <cell r="M354" t="str">
            <v>Калининский</v>
          </cell>
        </row>
        <row r="355">
          <cell r="A355" t="str">
            <v>102-1.1.2.</v>
          </cell>
          <cell r="B355" t="str">
            <v>Машинисты</v>
          </cell>
          <cell r="C355" t="str">
            <v>ч/ч</v>
          </cell>
          <cell r="D355">
            <v>194</v>
          </cell>
          <cell r="E355">
            <v>0.71099999999999997</v>
          </cell>
          <cell r="F355">
            <v>138</v>
          </cell>
          <cell r="G355">
            <v>14.31</v>
          </cell>
          <cell r="H355">
            <v>2776</v>
          </cell>
          <cell r="I355">
            <v>20.12</v>
          </cell>
          <cell r="J355">
            <v>2638</v>
          </cell>
          <cell r="K355">
            <v>102</v>
          </cell>
          <cell r="L355" t="str">
            <v>1.1.2.</v>
          </cell>
          <cell r="M355" t="str">
            <v>Калининский</v>
          </cell>
        </row>
        <row r="356">
          <cell r="M356" t="str">
            <v>Калининский</v>
          </cell>
        </row>
        <row r="357">
          <cell r="A357" t="str">
            <v>102-1.2.</v>
          </cell>
          <cell r="B357" t="str">
            <v>Технические ресурсы по нормам СНиП (без зарботной платы машиниста)</v>
          </cell>
          <cell r="F357">
            <v>208</v>
          </cell>
          <cell r="H357">
            <v>7668</v>
          </cell>
          <cell r="I357">
            <v>36.82</v>
          </cell>
          <cell r="J357">
            <v>7460</v>
          </cell>
          <cell r="K357">
            <v>102</v>
          </cell>
          <cell r="L357" t="str">
            <v>1.2.</v>
          </cell>
          <cell r="M357" t="str">
            <v>Калининский</v>
          </cell>
        </row>
        <row r="358">
          <cell r="A358">
            <v>1</v>
          </cell>
          <cell r="B358" t="str">
            <v>Автогрейдер средний</v>
          </cell>
          <cell r="C358" t="str">
            <v>м/ч</v>
          </cell>
          <cell r="D358">
            <v>4</v>
          </cell>
          <cell r="E358">
            <v>2.48</v>
          </cell>
          <cell r="F358">
            <v>9</v>
          </cell>
          <cell r="G358">
            <v>125.03</v>
          </cell>
          <cell r="H358">
            <v>449</v>
          </cell>
          <cell r="I358">
            <v>50.42</v>
          </cell>
          <cell r="J358">
            <v>440</v>
          </cell>
          <cell r="M358" t="str">
            <v>Калининский</v>
          </cell>
        </row>
        <row r="359">
          <cell r="A359">
            <v>2</v>
          </cell>
          <cell r="B359" t="str">
            <v>Бульдозер</v>
          </cell>
          <cell r="C359" t="str">
            <v>м/ч</v>
          </cell>
          <cell r="D359">
            <v>2</v>
          </cell>
          <cell r="E359">
            <v>2.2999999999999998</v>
          </cell>
          <cell r="F359">
            <v>5</v>
          </cell>
          <cell r="G359">
            <v>113.86</v>
          </cell>
          <cell r="H359">
            <v>228</v>
          </cell>
          <cell r="I359">
            <v>49.5</v>
          </cell>
          <cell r="J359">
            <v>223</v>
          </cell>
          <cell r="M359" t="str">
            <v>Калининский</v>
          </cell>
        </row>
        <row r="360">
          <cell r="A360">
            <v>3</v>
          </cell>
          <cell r="B360" t="str">
            <v>Машина поливомоечная</v>
          </cell>
          <cell r="C360" t="str">
            <v>м/ч</v>
          </cell>
          <cell r="D360">
            <v>14</v>
          </cell>
          <cell r="E360">
            <v>6.16</v>
          </cell>
          <cell r="F360">
            <v>85</v>
          </cell>
          <cell r="G360">
            <v>197.6</v>
          </cell>
          <cell r="H360">
            <v>2711</v>
          </cell>
          <cell r="I360">
            <v>32.08</v>
          </cell>
          <cell r="J360">
            <v>2627</v>
          </cell>
          <cell r="M360" t="str">
            <v>Калининский</v>
          </cell>
        </row>
        <row r="361">
          <cell r="A361">
            <v>4</v>
          </cell>
          <cell r="B361" t="str">
            <v xml:space="preserve">Каток  самоходный гладкий 5 тн </v>
          </cell>
          <cell r="C361" t="str">
            <v>м/ч</v>
          </cell>
          <cell r="D361">
            <v>46</v>
          </cell>
          <cell r="E361">
            <v>1.81</v>
          </cell>
          <cell r="F361">
            <v>84</v>
          </cell>
          <cell r="G361">
            <v>80.16</v>
          </cell>
          <cell r="H361">
            <v>3699</v>
          </cell>
          <cell r="I361">
            <v>44.29</v>
          </cell>
          <cell r="J361">
            <v>3616</v>
          </cell>
          <cell r="M361" t="str">
            <v>Калининский</v>
          </cell>
        </row>
        <row r="362">
          <cell r="A362">
            <v>5</v>
          </cell>
          <cell r="B362" t="str">
            <v xml:space="preserve">Экскаватор </v>
          </cell>
          <cell r="C362" t="str">
            <v>м/ч</v>
          </cell>
          <cell r="D362">
            <v>4</v>
          </cell>
          <cell r="E362">
            <v>2.72</v>
          </cell>
          <cell r="F362">
            <v>12</v>
          </cell>
          <cell r="G362">
            <v>103.25</v>
          </cell>
          <cell r="H362">
            <v>441</v>
          </cell>
          <cell r="I362">
            <v>37.96</v>
          </cell>
          <cell r="J362">
            <v>429</v>
          </cell>
          <cell r="M362" t="str">
            <v>Калининский</v>
          </cell>
        </row>
        <row r="363">
          <cell r="A363">
            <v>6</v>
          </cell>
          <cell r="B363" t="str">
            <v>Машина бурильно-крановая</v>
          </cell>
          <cell r="C363" t="str">
            <v>м/ч</v>
          </cell>
          <cell r="D363">
            <v>1</v>
          </cell>
          <cell r="E363">
            <v>3.41</v>
          </cell>
          <cell r="F363">
            <v>2</v>
          </cell>
          <cell r="G363">
            <v>129.44999999999999</v>
          </cell>
          <cell r="H363">
            <v>76</v>
          </cell>
          <cell r="I363">
            <v>37.96</v>
          </cell>
          <cell r="J363">
            <v>74</v>
          </cell>
          <cell r="M363" t="str">
            <v>Калининский</v>
          </cell>
        </row>
        <row r="364">
          <cell r="A364">
            <v>7</v>
          </cell>
          <cell r="B364" t="str">
            <v>Автокран 3т</v>
          </cell>
          <cell r="C364" t="str">
            <v>м/ч</v>
          </cell>
          <cell r="D364">
            <v>0</v>
          </cell>
          <cell r="E364">
            <v>4.01</v>
          </cell>
          <cell r="F364">
            <v>2</v>
          </cell>
          <cell r="G364">
            <v>152.22</v>
          </cell>
          <cell r="H364">
            <v>64</v>
          </cell>
          <cell r="I364">
            <v>37.96</v>
          </cell>
          <cell r="J364">
            <v>62</v>
          </cell>
          <cell r="M364" t="str">
            <v>Калининский</v>
          </cell>
        </row>
        <row r="365">
          <cell r="A365">
            <v>8</v>
          </cell>
          <cell r="B365" t="str">
            <v>Прочие машины</v>
          </cell>
          <cell r="C365" t="str">
            <v>руб</v>
          </cell>
          <cell r="D365">
            <v>11</v>
          </cell>
          <cell r="E365">
            <v>1</v>
          </cell>
          <cell r="F365">
            <v>11</v>
          </cell>
          <cell r="H365">
            <v>0</v>
          </cell>
          <cell r="I365">
            <v>0</v>
          </cell>
          <cell r="J365">
            <v>-11</v>
          </cell>
          <cell r="M365" t="str">
            <v>Калининский</v>
          </cell>
        </row>
        <row r="366">
          <cell r="A366">
            <v>9</v>
          </cell>
          <cell r="F366">
            <v>0</v>
          </cell>
          <cell r="H366">
            <v>0</v>
          </cell>
          <cell r="I366" t="e">
            <v>#DIV/0!</v>
          </cell>
          <cell r="J366">
            <v>0</v>
          </cell>
          <cell r="M366" t="str">
            <v>Калининский</v>
          </cell>
        </row>
        <row r="367">
          <cell r="A367">
            <v>10</v>
          </cell>
          <cell r="F367">
            <v>0</v>
          </cell>
          <cell r="H367">
            <v>0</v>
          </cell>
          <cell r="I367" t="e">
            <v>#DIV/0!</v>
          </cell>
          <cell r="J367">
            <v>0</v>
          </cell>
          <cell r="M367" t="str">
            <v>Калининский</v>
          </cell>
        </row>
        <row r="368">
          <cell r="M368" t="str">
            <v>Калининский</v>
          </cell>
        </row>
        <row r="369">
          <cell r="A369" t="str">
            <v>102-1.3.</v>
          </cell>
          <cell r="B369" t="str">
            <v>Материалы</v>
          </cell>
          <cell r="F369">
            <v>6657</v>
          </cell>
          <cell r="H369">
            <v>180781</v>
          </cell>
          <cell r="I369">
            <v>27.15</v>
          </cell>
          <cell r="J369">
            <v>173842</v>
          </cell>
          <cell r="K369">
            <v>102</v>
          </cell>
          <cell r="L369" t="str">
            <v>1.3.</v>
          </cell>
          <cell r="M369" t="str">
            <v>Калининский</v>
          </cell>
        </row>
        <row r="370">
          <cell r="B370" t="str">
            <v>Материальные ресурсы по нормам СНиП</v>
          </cell>
          <cell r="F370">
            <v>3258</v>
          </cell>
          <cell r="H370">
            <v>112265</v>
          </cell>
          <cell r="I370">
            <v>34.46</v>
          </cell>
          <cell r="J370">
            <v>108725</v>
          </cell>
          <cell r="M370" t="str">
            <v>Калининский</v>
          </cell>
        </row>
        <row r="371">
          <cell r="A371">
            <v>1</v>
          </cell>
          <cell r="B371" t="str">
            <v>ПГС</v>
          </cell>
          <cell r="C371" t="str">
            <v>м3</v>
          </cell>
          <cell r="D371">
            <v>263.39999999999998</v>
          </cell>
          <cell r="E371">
            <v>1.9</v>
          </cell>
          <cell r="F371">
            <v>500</v>
          </cell>
          <cell r="G371">
            <v>40.57</v>
          </cell>
          <cell r="H371">
            <v>10686</v>
          </cell>
          <cell r="I371">
            <v>21.35</v>
          </cell>
          <cell r="J371">
            <v>10186</v>
          </cell>
          <cell r="M371" t="str">
            <v>Калининский</v>
          </cell>
        </row>
        <row r="372">
          <cell r="A372">
            <v>2</v>
          </cell>
          <cell r="B372" t="str">
            <v>М/з а/б смесь</v>
          </cell>
          <cell r="C372" t="str">
            <v>т</v>
          </cell>
          <cell r="D372">
            <v>148</v>
          </cell>
          <cell r="E372">
            <v>14.84</v>
          </cell>
          <cell r="F372">
            <v>2196</v>
          </cell>
          <cell r="G372">
            <v>569.5</v>
          </cell>
          <cell r="H372">
            <v>84286</v>
          </cell>
          <cell r="I372">
            <v>38.380000000000003</v>
          </cell>
          <cell r="J372">
            <v>82090</v>
          </cell>
          <cell r="M372" t="str">
            <v>Калининский</v>
          </cell>
        </row>
        <row r="373">
          <cell r="A373">
            <v>3</v>
          </cell>
          <cell r="B373" t="str">
            <v>Бортовой камень Бр 100.30.18</v>
          </cell>
          <cell r="C373" t="str">
            <v>м3</v>
          </cell>
          <cell r="D373">
            <v>2.48</v>
          </cell>
          <cell r="E373">
            <v>43.6</v>
          </cell>
          <cell r="F373">
            <v>108</v>
          </cell>
          <cell r="G373">
            <v>1333.33</v>
          </cell>
          <cell r="H373">
            <v>3307</v>
          </cell>
          <cell r="I373">
            <v>30.58</v>
          </cell>
          <cell r="J373">
            <v>3199</v>
          </cell>
          <cell r="M373" t="str">
            <v>Калининский</v>
          </cell>
        </row>
        <row r="374">
          <cell r="A374">
            <v>4</v>
          </cell>
          <cell r="B374" t="str">
            <v>Бортовой камень Бр 100.20.8</v>
          </cell>
          <cell r="C374" t="str">
            <v>м3</v>
          </cell>
          <cell r="D374">
            <v>0.88</v>
          </cell>
          <cell r="E374">
            <v>49.4</v>
          </cell>
          <cell r="F374">
            <v>43</v>
          </cell>
          <cell r="G374">
            <v>1333.33</v>
          </cell>
          <cell r="H374">
            <v>1173</v>
          </cell>
          <cell r="I374">
            <v>26.99</v>
          </cell>
          <cell r="J374">
            <v>1130</v>
          </cell>
          <cell r="M374" t="str">
            <v>Калининский</v>
          </cell>
        </row>
        <row r="375">
          <cell r="A375">
            <v>5</v>
          </cell>
          <cell r="B375" t="str">
            <v>Барьерное ограждение</v>
          </cell>
          <cell r="C375" t="str">
            <v>т</v>
          </cell>
          <cell r="D375">
            <v>0.4</v>
          </cell>
          <cell r="E375">
            <v>432.5</v>
          </cell>
          <cell r="F375">
            <v>173</v>
          </cell>
          <cell r="G375">
            <v>17955</v>
          </cell>
          <cell r="H375">
            <v>7182</v>
          </cell>
          <cell r="I375">
            <v>41.51</v>
          </cell>
          <cell r="J375">
            <v>7009</v>
          </cell>
          <cell r="M375" t="str">
            <v>Калининский</v>
          </cell>
        </row>
        <row r="376">
          <cell r="A376">
            <v>6</v>
          </cell>
          <cell r="B376" t="str">
            <v>Бетон М 100</v>
          </cell>
          <cell r="C376" t="str">
            <v>м3</v>
          </cell>
          <cell r="D376">
            <v>2.1</v>
          </cell>
          <cell r="E376">
            <v>16.53</v>
          </cell>
          <cell r="F376">
            <v>35</v>
          </cell>
          <cell r="G376">
            <v>525</v>
          </cell>
          <cell r="H376">
            <v>1103</v>
          </cell>
          <cell r="I376">
            <v>31.76</v>
          </cell>
          <cell r="J376">
            <v>1068</v>
          </cell>
          <cell r="M376" t="str">
            <v>Калининский</v>
          </cell>
        </row>
        <row r="377">
          <cell r="A377">
            <v>7</v>
          </cell>
          <cell r="B377" t="str">
            <v>Краска масляная</v>
          </cell>
          <cell r="C377" t="str">
            <v>кг</v>
          </cell>
          <cell r="D377">
            <v>5</v>
          </cell>
          <cell r="E377">
            <v>1.8</v>
          </cell>
          <cell r="F377">
            <v>9</v>
          </cell>
          <cell r="G377">
            <v>29.17</v>
          </cell>
          <cell r="H377">
            <v>146</v>
          </cell>
          <cell r="I377">
            <v>16.21</v>
          </cell>
          <cell r="J377">
            <v>137</v>
          </cell>
          <cell r="M377" t="str">
            <v>Калининский</v>
          </cell>
        </row>
        <row r="378">
          <cell r="A378">
            <v>8</v>
          </cell>
          <cell r="B378" t="str">
            <v>Знаки дорожные</v>
          </cell>
          <cell r="C378" t="str">
            <v>шт</v>
          </cell>
          <cell r="D378">
            <v>8</v>
          </cell>
          <cell r="E378">
            <v>18.59</v>
          </cell>
          <cell r="F378">
            <v>149</v>
          </cell>
          <cell r="G378">
            <v>442.71</v>
          </cell>
          <cell r="H378">
            <v>3542</v>
          </cell>
          <cell r="I378">
            <v>23.81</v>
          </cell>
          <cell r="J378">
            <v>3393</v>
          </cell>
          <cell r="M378" t="str">
            <v>Калининский</v>
          </cell>
        </row>
        <row r="379">
          <cell r="A379">
            <v>9</v>
          </cell>
          <cell r="B379" t="str">
            <v>Стойка ж/б</v>
          </cell>
          <cell r="C379" t="str">
            <v>м3</v>
          </cell>
          <cell r="D379">
            <v>0.16</v>
          </cell>
          <cell r="E379">
            <v>67.97</v>
          </cell>
          <cell r="F379">
            <v>11</v>
          </cell>
          <cell r="G379">
            <v>2750</v>
          </cell>
          <cell r="H379">
            <v>440</v>
          </cell>
          <cell r="I379">
            <v>40.46</v>
          </cell>
          <cell r="J379">
            <v>429</v>
          </cell>
          <cell r="M379" t="str">
            <v>Калининский</v>
          </cell>
        </row>
        <row r="380">
          <cell r="A380">
            <v>10</v>
          </cell>
          <cell r="B380" t="str">
            <v>Берма ж/б</v>
          </cell>
          <cell r="C380" t="str">
            <v>м3</v>
          </cell>
          <cell r="D380">
            <v>0.03</v>
          </cell>
          <cell r="E380">
            <v>67.97</v>
          </cell>
          <cell r="F380">
            <v>2</v>
          </cell>
          <cell r="G380">
            <v>2750</v>
          </cell>
          <cell r="H380">
            <v>88</v>
          </cell>
          <cell r="I380">
            <v>40.46</v>
          </cell>
          <cell r="J380">
            <v>86</v>
          </cell>
          <cell r="M380" t="str">
            <v>Калининский</v>
          </cell>
        </row>
        <row r="381">
          <cell r="A381">
            <v>11</v>
          </cell>
          <cell r="B381" t="str">
            <v>Прочие материалы</v>
          </cell>
          <cell r="C381" t="str">
            <v>руб</v>
          </cell>
          <cell r="D381">
            <v>31.28</v>
          </cell>
          <cell r="E381">
            <v>1</v>
          </cell>
          <cell r="F381">
            <v>31</v>
          </cell>
          <cell r="G381">
            <v>10</v>
          </cell>
          <cell r="H381">
            <v>313</v>
          </cell>
          <cell r="M381" t="str">
            <v>Калининский</v>
          </cell>
        </row>
        <row r="382">
          <cell r="B382" t="str">
            <v>Транспортировка материалов, т (вид транспорта, км)</v>
          </cell>
          <cell r="F382">
            <v>3399</v>
          </cell>
          <cell r="H382">
            <v>68516</v>
          </cell>
          <cell r="I382">
            <v>20.16</v>
          </cell>
          <cell r="J382">
            <v>65116</v>
          </cell>
          <cell r="M382" t="str">
            <v>Калининский</v>
          </cell>
        </row>
        <row r="383">
          <cell r="A383">
            <v>1</v>
          </cell>
          <cell r="B383" t="str">
            <v>ПГС  139 км</v>
          </cell>
          <cell r="C383" t="str">
            <v>т</v>
          </cell>
          <cell r="D383">
            <v>474.12</v>
          </cell>
          <cell r="E383">
            <v>6.41</v>
          </cell>
          <cell r="F383">
            <v>3039</v>
          </cell>
          <cell r="G383">
            <v>136.4</v>
          </cell>
          <cell r="H383">
            <v>64670</v>
          </cell>
          <cell r="I383">
            <v>21.28</v>
          </cell>
          <cell r="J383">
            <v>61631</v>
          </cell>
          <cell r="M383" t="str">
            <v>Калининский</v>
          </cell>
        </row>
        <row r="384">
          <cell r="A384">
            <v>2</v>
          </cell>
          <cell r="B384" t="str">
            <v>М/з а/б смесь 2 км</v>
          </cell>
          <cell r="C384" t="str">
            <v>т</v>
          </cell>
          <cell r="D384">
            <v>148</v>
          </cell>
          <cell r="E384">
            <v>0.65</v>
          </cell>
          <cell r="F384">
            <v>96</v>
          </cell>
          <cell r="G384">
            <v>2.91</v>
          </cell>
          <cell r="H384">
            <v>431</v>
          </cell>
          <cell r="I384">
            <v>4.4800000000000004</v>
          </cell>
          <cell r="J384">
            <v>334</v>
          </cell>
          <cell r="M384" t="str">
            <v>Калининский</v>
          </cell>
        </row>
        <row r="385">
          <cell r="A385">
            <v>3</v>
          </cell>
          <cell r="B385" t="str">
            <v>Бортовой камень Бр 100.30.18  222 км</v>
          </cell>
          <cell r="C385" t="str">
            <v>т</v>
          </cell>
          <cell r="D385">
            <v>6.19</v>
          </cell>
          <cell r="E385">
            <v>8.7200000000000006</v>
          </cell>
          <cell r="F385">
            <v>54</v>
          </cell>
          <cell r="G385">
            <v>271.64999999999998</v>
          </cell>
          <cell r="H385">
            <v>1681</v>
          </cell>
          <cell r="I385">
            <v>31.15</v>
          </cell>
          <cell r="J385">
            <v>1627</v>
          </cell>
          <cell r="M385" t="str">
            <v>Калининский</v>
          </cell>
        </row>
        <row r="386">
          <cell r="A386">
            <v>4</v>
          </cell>
          <cell r="B386" t="str">
            <v>Бортовой камень Бр 100.20.8  222 км</v>
          </cell>
          <cell r="C386" t="str">
            <v>т</v>
          </cell>
          <cell r="D386">
            <v>2.2000000000000002</v>
          </cell>
          <cell r="E386">
            <v>8.7200000000000006</v>
          </cell>
          <cell r="F386">
            <v>19</v>
          </cell>
          <cell r="G386">
            <v>271.64999999999998</v>
          </cell>
          <cell r="H386">
            <v>598</v>
          </cell>
          <cell r="I386">
            <v>31.15</v>
          </cell>
          <cell r="J386">
            <v>578</v>
          </cell>
          <cell r="M386" t="str">
            <v>Калининский</v>
          </cell>
        </row>
        <row r="387">
          <cell r="A387">
            <v>5</v>
          </cell>
          <cell r="B387" t="str">
            <v>Барьерное ограждение 82 км</v>
          </cell>
          <cell r="C387" t="str">
            <v>т</v>
          </cell>
          <cell r="D387">
            <v>0.4</v>
          </cell>
          <cell r="E387">
            <v>4.74</v>
          </cell>
          <cell r="F387">
            <v>2</v>
          </cell>
          <cell r="G387">
            <v>97.2</v>
          </cell>
          <cell r="H387">
            <v>39</v>
          </cell>
          <cell r="I387">
            <v>20.51</v>
          </cell>
          <cell r="J387">
            <v>37</v>
          </cell>
          <cell r="M387" t="str">
            <v>Калининский</v>
          </cell>
        </row>
        <row r="388">
          <cell r="A388">
            <v>6</v>
          </cell>
          <cell r="B388" t="str">
            <v>Бетон М 100    2 км</v>
          </cell>
          <cell r="C388" t="str">
            <v>т</v>
          </cell>
          <cell r="D388">
            <v>4.62</v>
          </cell>
          <cell r="E388">
            <v>0.65</v>
          </cell>
          <cell r="F388">
            <v>3</v>
          </cell>
          <cell r="G388">
            <v>2.91</v>
          </cell>
          <cell r="H388">
            <v>13</v>
          </cell>
          <cell r="I388">
            <v>4.4800000000000004</v>
          </cell>
          <cell r="J388">
            <v>10</v>
          </cell>
          <cell r="M388" t="str">
            <v>Калининский</v>
          </cell>
        </row>
        <row r="389">
          <cell r="A389">
            <v>7</v>
          </cell>
          <cell r="B389" t="str">
            <v>Краска масляная</v>
          </cell>
          <cell r="C389" t="str">
            <v>кг</v>
          </cell>
          <cell r="D389">
            <v>5</v>
          </cell>
          <cell r="F389">
            <v>0</v>
          </cell>
          <cell r="H389">
            <v>0</v>
          </cell>
          <cell r="I389" t="e">
            <v>#DIV/0!</v>
          </cell>
          <cell r="J389">
            <v>0</v>
          </cell>
          <cell r="M389" t="str">
            <v>Калининский</v>
          </cell>
        </row>
        <row r="390">
          <cell r="A390">
            <v>8</v>
          </cell>
          <cell r="B390" t="str">
            <v>Прочие материал</v>
          </cell>
          <cell r="C390" t="str">
            <v>т</v>
          </cell>
          <cell r="D390">
            <v>1</v>
          </cell>
          <cell r="E390">
            <v>2.38</v>
          </cell>
          <cell r="F390">
            <v>2</v>
          </cell>
          <cell r="G390">
            <v>94.85</v>
          </cell>
          <cell r="H390">
            <v>95</v>
          </cell>
          <cell r="I390">
            <v>39.85</v>
          </cell>
          <cell r="J390">
            <v>92</v>
          </cell>
          <cell r="M390" t="str">
            <v>Калининский</v>
          </cell>
        </row>
        <row r="391">
          <cell r="A391">
            <v>9</v>
          </cell>
          <cell r="B391" t="str">
            <v>Грунт на 2 км</v>
          </cell>
          <cell r="C391" t="str">
            <v>т</v>
          </cell>
          <cell r="D391">
            <v>340</v>
          </cell>
          <cell r="E391">
            <v>0.54</v>
          </cell>
          <cell r="F391">
            <v>184</v>
          </cell>
          <cell r="G391">
            <v>2.91</v>
          </cell>
          <cell r="H391">
            <v>989</v>
          </cell>
          <cell r="I391">
            <v>5.39</v>
          </cell>
          <cell r="J391">
            <v>806</v>
          </cell>
          <cell r="M391" t="str">
            <v>Калининский</v>
          </cell>
        </row>
        <row r="392">
          <cell r="A392">
            <v>10</v>
          </cell>
          <cell r="C392" t="str">
            <v>т</v>
          </cell>
          <cell r="F392">
            <v>0</v>
          </cell>
          <cell r="H392">
            <v>0</v>
          </cell>
          <cell r="I392" t="e">
            <v>#DIV/0!</v>
          </cell>
          <cell r="J392">
            <v>0</v>
          </cell>
          <cell r="M392" t="str">
            <v>Калининский</v>
          </cell>
        </row>
        <row r="393">
          <cell r="M393" t="str">
            <v>Калининский</v>
          </cell>
        </row>
        <row r="394">
          <cell r="B394" t="str">
            <v>Заготовительно-складские расходы</v>
          </cell>
          <cell r="F394">
            <v>0</v>
          </cell>
          <cell r="H394">
            <v>0</v>
          </cell>
          <cell r="I394" t="e">
            <v>#DIV/0!</v>
          </cell>
          <cell r="J394">
            <v>0</v>
          </cell>
          <cell r="M394" t="str">
            <v>Калининский</v>
          </cell>
        </row>
        <row r="395">
          <cell r="A395">
            <v>1</v>
          </cell>
          <cell r="B395" t="str">
            <v>ПГС</v>
          </cell>
          <cell r="C395" t="str">
            <v>руб</v>
          </cell>
          <cell r="E395">
            <v>3539.57</v>
          </cell>
          <cell r="F395">
            <v>0</v>
          </cell>
          <cell r="H395">
            <v>0</v>
          </cell>
          <cell r="I395" t="e">
            <v>#DIV/0!</v>
          </cell>
          <cell r="J395">
            <v>0</v>
          </cell>
          <cell r="M395" t="str">
            <v>Калининский</v>
          </cell>
        </row>
        <row r="396">
          <cell r="A396">
            <v>2</v>
          </cell>
          <cell r="B396" t="str">
            <v>М/з а/б смесь</v>
          </cell>
          <cell r="C396" t="str">
            <v>руб</v>
          </cell>
          <cell r="E396">
            <v>2292.52</v>
          </cell>
          <cell r="F396">
            <v>0</v>
          </cell>
          <cell r="H396">
            <v>0</v>
          </cell>
          <cell r="I396" t="e">
            <v>#DIV/0!</v>
          </cell>
          <cell r="J396">
            <v>0</v>
          </cell>
          <cell r="M396" t="str">
            <v>Калининский</v>
          </cell>
        </row>
        <row r="397">
          <cell r="A397">
            <v>3</v>
          </cell>
          <cell r="B397" t="str">
            <v>Бортовой камень Бр 100.30.18</v>
          </cell>
          <cell r="C397" t="str">
            <v>руб</v>
          </cell>
          <cell r="E397">
            <v>162.1</v>
          </cell>
          <cell r="F397">
            <v>0</v>
          </cell>
          <cell r="H397">
            <v>0</v>
          </cell>
          <cell r="I397" t="e">
            <v>#DIV/0!</v>
          </cell>
          <cell r="J397">
            <v>0</v>
          </cell>
          <cell r="M397" t="str">
            <v>Калининский</v>
          </cell>
        </row>
        <row r="398">
          <cell r="A398">
            <v>4</v>
          </cell>
          <cell r="B398" t="str">
            <v>Бортовой камень Бр 100.20.8</v>
          </cell>
          <cell r="C398" t="str">
            <v>руб</v>
          </cell>
          <cell r="E398">
            <v>62.66</v>
          </cell>
          <cell r="F398">
            <v>0</v>
          </cell>
          <cell r="H398">
            <v>0</v>
          </cell>
          <cell r="I398" t="e">
            <v>#DIV/0!</v>
          </cell>
          <cell r="J398">
            <v>0</v>
          </cell>
          <cell r="M398" t="str">
            <v>Калининский</v>
          </cell>
        </row>
        <row r="399">
          <cell r="A399">
            <v>5</v>
          </cell>
          <cell r="B399" t="str">
            <v>Барьерное ограждение</v>
          </cell>
          <cell r="C399" t="str">
            <v>руб</v>
          </cell>
          <cell r="E399">
            <v>174.9</v>
          </cell>
          <cell r="F399">
            <v>0</v>
          </cell>
          <cell r="H399">
            <v>0</v>
          </cell>
          <cell r="I399" t="e">
            <v>#DIV/0!</v>
          </cell>
          <cell r="J399">
            <v>0</v>
          </cell>
          <cell r="M399" t="str">
            <v>Калининский</v>
          </cell>
        </row>
        <row r="400">
          <cell r="A400">
            <v>6</v>
          </cell>
          <cell r="B400" t="str">
            <v>Бетон М 100</v>
          </cell>
          <cell r="C400" t="str">
            <v>руб</v>
          </cell>
          <cell r="E400">
            <v>37.72</v>
          </cell>
          <cell r="F400">
            <v>0</v>
          </cell>
          <cell r="H400">
            <v>0</v>
          </cell>
          <cell r="I400" t="e">
            <v>#DIV/0!</v>
          </cell>
          <cell r="J400">
            <v>0</v>
          </cell>
          <cell r="M400" t="str">
            <v>Калининский</v>
          </cell>
        </row>
        <row r="401">
          <cell r="A401">
            <v>7</v>
          </cell>
          <cell r="B401" t="str">
            <v>Краска масляная</v>
          </cell>
          <cell r="C401" t="str">
            <v>руб</v>
          </cell>
          <cell r="E401">
            <v>9</v>
          </cell>
          <cell r="F401">
            <v>0</v>
          </cell>
          <cell r="H401">
            <v>0</v>
          </cell>
          <cell r="I401" t="e">
            <v>#DIV/0!</v>
          </cell>
          <cell r="J401">
            <v>0</v>
          </cell>
          <cell r="M401" t="str">
            <v>Калининский</v>
          </cell>
        </row>
        <row r="402">
          <cell r="A402">
            <v>8</v>
          </cell>
          <cell r="B402" t="str">
            <v>Знаки дорожные</v>
          </cell>
          <cell r="C402" t="str">
            <v>руб</v>
          </cell>
          <cell r="E402">
            <v>151.1</v>
          </cell>
          <cell r="F402">
            <v>0</v>
          </cell>
          <cell r="H402">
            <v>0</v>
          </cell>
          <cell r="I402" t="e">
            <v>#DIV/0!</v>
          </cell>
          <cell r="J402">
            <v>0</v>
          </cell>
          <cell r="M402" t="str">
            <v>Калининский</v>
          </cell>
        </row>
        <row r="403">
          <cell r="A403">
            <v>9</v>
          </cell>
          <cell r="B403" t="str">
            <v>Стойка ж/б</v>
          </cell>
          <cell r="C403" t="str">
            <v>руб</v>
          </cell>
          <cell r="E403">
            <v>194.48</v>
          </cell>
          <cell r="F403">
            <v>0</v>
          </cell>
          <cell r="H403">
            <v>0</v>
          </cell>
          <cell r="I403" t="e">
            <v>#DIV/0!</v>
          </cell>
          <cell r="J403">
            <v>0</v>
          </cell>
          <cell r="M403" t="str">
            <v>Калининский</v>
          </cell>
        </row>
        <row r="404">
          <cell r="A404">
            <v>10</v>
          </cell>
          <cell r="B404" t="str">
            <v>Берма ж/б</v>
          </cell>
          <cell r="C404" t="str">
            <v>руб</v>
          </cell>
          <cell r="E404">
            <v>2.1800000000000002</v>
          </cell>
          <cell r="F404">
            <v>0</v>
          </cell>
          <cell r="H404">
            <v>0</v>
          </cell>
          <cell r="I404" t="e">
            <v>#DIV/0!</v>
          </cell>
          <cell r="J404">
            <v>0</v>
          </cell>
          <cell r="M404" t="str">
            <v>Калининский</v>
          </cell>
        </row>
        <row r="405">
          <cell r="M405" t="str">
            <v>Калининский</v>
          </cell>
        </row>
        <row r="406">
          <cell r="M406" t="str">
            <v>Калининский</v>
          </cell>
        </row>
        <row r="407">
          <cell r="B407" t="str">
            <v>Составил:______________________________</v>
          </cell>
          <cell r="M407" t="str">
            <v>Калининский</v>
          </cell>
        </row>
        <row r="408">
          <cell r="M408" t="str">
            <v>Калининский</v>
          </cell>
        </row>
        <row r="409">
          <cell r="B409" t="str">
            <v>Начальник ТДО: ________________________</v>
          </cell>
        </row>
        <row r="410">
          <cell r="B410" t="e">
            <v>#N/A</v>
          </cell>
          <cell r="M410" t="e">
            <v>#N/A</v>
          </cell>
        </row>
        <row r="411">
          <cell r="A411" t="str">
            <v>0-1.1.</v>
          </cell>
          <cell r="B411" t="str">
            <v>Фонд заработной платы</v>
          </cell>
          <cell r="D411">
            <v>12097</v>
          </cell>
          <cell r="F411">
            <v>8248</v>
          </cell>
          <cell r="H411">
            <v>163136.69400000002</v>
          </cell>
          <cell r="I411">
            <v>19.778939621726483</v>
          </cell>
          <cell r="J411">
            <v>154888.69400000002</v>
          </cell>
          <cell r="K411">
            <v>0</v>
          </cell>
          <cell r="L411" t="str">
            <v>1.1.</v>
          </cell>
          <cell r="M411" t="e">
            <v>#N/A</v>
          </cell>
        </row>
        <row r="412">
          <cell r="A412" t="str">
            <v>0-1.1.1.</v>
          </cell>
          <cell r="B412" t="str">
            <v>Основные рабочие</v>
          </cell>
          <cell r="C412" t="str">
            <v>ч/ч</v>
          </cell>
          <cell r="D412">
            <v>7484</v>
          </cell>
          <cell r="E412">
            <v>0.55104222340994125</v>
          </cell>
          <cell r="F412">
            <v>4124</v>
          </cell>
          <cell r="G412">
            <v>12.201000000000002</v>
          </cell>
          <cell r="H412">
            <v>91312.284000000014</v>
          </cell>
          <cell r="I412">
            <v>22.141678952473331</v>
          </cell>
          <cell r="J412">
            <v>87188.284000000014</v>
          </cell>
          <cell r="K412">
            <v>0</v>
          </cell>
          <cell r="L412" t="str">
            <v>1.1.1.</v>
          </cell>
          <cell r="M412" t="e">
            <v>#N/A</v>
          </cell>
        </row>
        <row r="413">
          <cell r="A413" t="str">
            <v>0-1.1.2.</v>
          </cell>
          <cell r="B413" t="str">
            <v>Машинисты</v>
          </cell>
          <cell r="C413" t="str">
            <v>ч/ч</v>
          </cell>
          <cell r="D413">
            <v>4613</v>
          </cell>
          <cell r="E413">
            <v>0.89399523086928245</v>
          </cell>
          <cell r="F413">
            <v>4124</v>
          </cell>
          <cell r="G413">
            <v>15.57</v>
          </cell>
          <cell r="H413">
            <v>71824.41</v>
          </cell>
          <cell r="I413">
            <v>17.416200290979631</v>
          </cell>
          <cell r="J413">
            <v>67700.41</v>
          </cell>
          <cell r="K413">
            <v>0</v>
          </cell>
          <cell r="L413" t="str">
            <v>1.1.2.</v>
          </cell>
          <cell r="M413" t="e">
            <v>#N/A</v>
          </cell>
        </row>
        <row r="414">
          <cell r="M414" t="e">
            <v>#N/A</v>
          </cell>
        </row>
        <row r="415">
          <cell r="A415" t="str">
            <v>0-1.2.</v>
          </cell>
          <cell r="B415" t="str">
            <v>Технические ресурсы по нормам СНиП (без зарботной платы машиниста)</v>
          </cell>
          <cell r="F415">
            <v>256.8</v>
          </cell>
          <cell r="H415">
            <v>14000</v>
          </cell>
          <cell r="I415">
            <v>54.517133956386289</v>
          </cell>
          <cell r="J415">
            <v>13743.2</v>
          </cell>
          <cell r="K415">
            <v>0</v>
          </cell>
          <cell r="L415" t="str">
            <v>1.2.</v>
          </cell>
          <cell r="M415" t="e">
            <v>#N/A</v>
          </cell>
        </row>
        <row r="416">
          <cell r="A416">
            <v>1</v>
          </cell>
          <cell r="B416" t="str">
            <v>Автогрейдер средний</v>
          </cell>
          <cell r="C416" t="str">
            <v>м/ч</v>
          </cell>
          <cell r="D416">
            <v>100</v>
          </cell>
          <cell r="E416">
            <v>2.5680000000000001</v>
          </cell>
          <cell r="F416">
            <v>256.8</v>
          </cell>
          <cell r="G416">
            <v>140</v>
          </cell>
          <cell r="H416">
            <v>14000</v>
          </cell>
          <cell r="I416">
            <v>54.517133956386289</v>
          </cell>
          <cell r="J416">
            <v>13743.2</v>
          </cell>
          <cell r="M416" t="e">
            <v>#N/A</v>
          </cell>
        </row>
        <row r="417">
          <cell r="A417">
            <v>2</v>
          </cell>
          <cell r="B417" t="str">
            <v>Бульдозер</v>
          </cell>
          <cell r="C417" t="str">
            <v>м/ч</v>
          </cell>
          <cell r="D417">
            <v>1</v>
          </cell>
          <cell r="F417">
            <v>0</v>
          </cell>
          <cell r="H417">
            <v>0</v>
          </cell>
          <cell r="I417" t="e">
            <v>#DIV/0!</v>
          </cell>
          <cell r="J417">
            <v>0</v>
          </cell>
          <cell r="M417" t="e">
            <v>#N/A</v>
          </cell>
        </row>
        <row r="418">
          <cell r="A418">
            <v>3</v>
          </cell>
          <cell r="C418" t="str">
            <v>м/ч</v>
          </cell>
          <cell r="D418">
            <v>1</v>
          </cell>
          <cell r="F418">
            <v>0</v>
          </cell>
          <cell r="H418">
            <v>0</v>
          </cell>
          <cell r="I418" t="e">
            <v>#DIV/0!</v>
          </cell>
          <cell r="J418">
            <v>0</v>
          </cell>
          <cell r="M418" t="e">
            <v>#N/A</v>
          </cell>
        </row>
        <row r="419">
          <cell r="A419">
            <v>4</v>
          </cell>
          <cell r="C419" t="str">
            <v>м/ч</v>
          </cell>
          <cell r="F419">
            <v>0</v>
          </cell>
          <cell r="H419">
            <v>0</v>
          </cell>
          <cell r="I419" t="e">
            <v>#DIV/0!</v>
          </cell>
          <cell r="J419">
            <v>0</v>
          </cell>
          <cell r="M419" t="e">
            <v>#N/A</v>
          </cell>
        </row>
        <row r="420">
          <cell r="A420">
            <v>5</v>
          </cell>
          <cell r="C420" t="str">
            <v>м/ч</v>
          </cell>
          <cell r="F420">
            <v>0</v>
          </cell>
          <cell r="H420">
            <v>0</v>
          </cell>
          <cell r="I420" t="e">
            <v>#DIV/0!</v>
          </cell>
          <cell r="J420">
            <v>0</v>
          </cell>
          <cell r="M420" t="e">
            <v>#N/A</v>
          </cell>
        </row>
        <row r="421">
          <cell r="A421">
            <v>6</v>
          </cell>
          <cell r="C421" t="str">
            <v>м/ч</v>
          </cell>
          <cell r="F421">
            <v>0</v>
          </cell>
          <cell r="H421">
            <v>0</v>
          </cell>
          <cell r="I421" t="e">
            <v>#DIV/0!</v>
          </cell>
          <cell r="J421">
            <v>0</v>
          </cell>
          <cell r="M421" t="e">
            <v>#N/A</v>
          </cell>
        </row>
        <row r="422">
          <cell r="A422">
            <v>7</v>
          </cell>
          <cell r="C422" t="str">
            <v>м/ч</v>
          </cell>
          <cell r="F422">
            <v>0</v>
          </cell>
          <cell r="H422">
            <v>0</v>
          </cell>
          <cell r="I422" t="e">
            <v>#DIV/0!</v>
          </cell>
          <cell r="J422">
            <v>0</v>
          </cell>
          <cell r="M422" t="e">
            <v>#N/A</v>
          </cell>
        </row>
        <row r="423">
          <cell r="A423">
            <v>8</v>
          </cell>
          <cell r="C423" t="str">
            <v>м/ч</v>
          </cell>
          <cell r="F423">
            <v>0</v>
          </cell>
          <cell r="H423">
            <v>0</v>
          </cell>
          <cell r="I423" t="e">
            <v>#DIV/0!</v>
          </cell>
          <cell r="J423">
            <v>0</v>
          </cell>
          <cell r="M423" t="e">
            <v>#N/A</v>
          </cell>
        </row>
        <row r="424">
          <cell r="A424">
            <v>9</v>
          </cell>
          <cell r="C424" t="str">
            <v>м/ч</v>
          </cell>
          <cell r="F424">
            <v>0</v>
          </cell>
          <cell r="H424">
            <v>0</v>
          </cell>
          <cell r="I424" t="e">
            <v>#DIV/0!</v>
          </cell>
          <cell r="J424">
            <v>0</v>
          </cell>
          <cell r="M424" t="e">
            <v>#N/A</v>
          </cell>
        </row>
        <row r="425">
          <cell r="A425">
            <v>10</v>
          </cell>
          <cell r="C425" t="str">
            <v>м/ч</v>
          </cell>
          <cell r="F425">
            <v>0</v>
          </cell>
          <cell r="H425">
            <v>0</v>
          </cell>
          <cell r="I425" t="e">
            <v>#DIV/0!</v>
          </cell>
          <cell r="J425">
            <v>0</v>
          </cell>
          <cell r="M425" t="e">
            <v>#N/A</v>
          </cell>
        </row>
        <row r="426">
          <cell r="M426" t="e">
            <v>#N/A</v>
          </cell>
        </row>
        <row r="427">
          <cell r="A427" t="str">
            <v>0-1.3.</v>
          </cell>
          <cell r="B427" t="str">
            <v>Материалы</v>
          </cell>
          <cell r="F427">
            <v>1246.44</v>
          </cell>
          <cell r="H427">
            <v>24440</v>
          </cell>
          <cell r="I427">
            <v>19.6078431372549</v>
          </cell>
          <cell r="J427">
            <v>23193.56</v>
          </cell>
          <cell r="K427">
            <v>0</v>
          </cell>
          <cell r="L427" t="str">
            <v>1.3.</v>
          </cell>
          <cell r="M427" t="e">
            <v>#N/A</v>
          </cell>
        </row>
        <row r="428">
          <cell r="B428" t="str">
            <v>Материальные ресурсы по нормам СНиП</v>
          </cell>
          <cell r="F428">
            <v>0</v>
          </cell>
          <cell r="H428">
            <v>0</v>
          </cell>
          <cell r="I428" t="e">
            <v>#DIV/0!</v>
          </cell>
          <cell r="J428">
            <v>0</v>
          </cell>
          <cell r="M428" t="e">
            <v>#N/A</v>
          </cell>
        </row>
        <row r="429">
          <cell r="A429">
            <v>1</v>
          </cell>
          <cell r="C429" t="str">
            <v>м3</v>
          </cell>
          <cell r="F429">
            <v>0</v>
          </cell>
          <cell r="H429">
            <v>0</v>
          </cell>
          <cell r="I429" t="e">
            <v>#DIV/0!</v>
          </cell>
          <cell r="J429">
            <v>0</v>
          </cell>
          <cell r="M429" t="e">
            <v>#N/A</v>
          </cell>
        </row>
        <row r="430">
          <cell r="A430">
            <v>2</v>
          </cell>
          <cell r="F430">
            <v>0</v>
          </cell>
          <cell r="H430">
            <v>0</v>
          </cell>
          <cell r="I430" t="e">
            <v>#DIV/0!</v>
          </cell>
          <cell r="J430">
            <v>0</v>
          </cell>
          <cell r="M430" t="e">
            <v>#N/A</v>
          </cell>
        </row>
        <row r="431">
          <cell r="A431">
            <v>3</v>
          </cell>
          <cell r="F431">
            <v>0</v>
          </cell>
          <cell r="H431">
            <v>0</v>
          </cell>
          <cell r="I431" t="e">
            <v>#DIV/0!</v>
          </cell>
          <cell r="J431">
            <v>0</v>
          </cell>
          <cell r="M431" t="e">
            <v>#N/A</v>
          </cell>
        </row>
        <row r="432">
          <cell r="A432">
            <v>4</v>
          </cell>
          <cell r="F432">
            <v>0</v>
          </cell>
          <cell r="H432">
            <v>0</v>
          </cell>
          <cell r="I432" t="e">
            <v>#DIV/0!</v>
          </cell>
          <cell r="J432">
            <v>0</v>
          </cell>
          <cell r="M432" t="e">
            <v>#N/A</v>
          </cell>
        </row>
        <row r="433">
          <cell r="A433">
            <v>5</v>
          </cell>
          <cell r="F433">
            <v>0</v>
          </cell>
          <cell r="H433">
            <v>0</v>
          </cell>
          <cell r="I433" t="e">
            <v>#DIV/0!</v>
          </cell>
          <cell r="J433">
            <v>0</v>
          </cell>
          <cell r="M433" t="e">
            <v>#N/A</v>
          </cell>
        </row>
        <row r="434">
          <cell r="A434">
            <v>6</v>
          </cell>
          <cell r="F434">
            <v>0</v>
          </cell>
          <cell r="H434">
            <v>0</v>
          </cell>
          <cell r="I434" t="e">
            <v>#DIV/0!</v>
          </cell>
          <cell r="J434">
            <v>0</v>
          </cell>
          <cell r="M434" t="e">
            <v>#N/A</v>
          </cell>
        </row>
        <row r="435">
          <cell r="A435">
            <v>7</v>
          </cell>
          <cell r="F435">
            <v>0</v>
          </cell>
          <cell r="H435">
            <v>0</v>
          </cell>
          <cell r="I435" t="e">
            <v>#DIV/0!</v>
          </cell>
          <cell r="J435">
            <v>0</v>
          </cell>
          <cell r="M435" t="e">
            <v>#N/A</v>
          </cell>
        </row>
        <row r="436">
          <cell r="A436">
            <v>8</v>
          </cell>
          <cell r="F436">
            <v>0</v>
          </cell>
          <cell r="H436">
            <v>0</v>
          </cell>
          <cell r="I436" t="e">
            <v>#DIV/0!</v>
          </cell>
          <cell r="J436">
            <v>0</v>
          </cell>
          <cell r="M436" t="e">
            <v>#N/A</v>
          </cell>
        </row>
        <row r="437">
          <cell r="A437">
            <v>9</v>
          </cell>
          <cell r="F437">
            <v>0</v>
          </cell>
          <cell r="H437">
            <v>0</v>
          </cell>
          <cell r="I437" t="e">
            <v>#DIV/0!</v>
          </cell>
          <cell r="J437">
            <v>0</v>
          </cell>
          <cell r="M437" t="e">
            <v>#N/A</v>
          </cell>
        </row>
        <row r="438">
          <cell r="A438">
            <v>10</v>
          </cell>
          <cell r="F438">
            <v>0</v>
          </cell>
          <cell r="H438">
            <v>0</v>
          </cell>
          <cell r="I438" t="e">
            <v>#DIV/0!</v>
          </cell>
          <cell r="J438">
            <v>0</v>
          </cell>
          <cell r="M438" t="e">
            <v>#N/A</v>
          </cell>
        </row>
        <row r="439">
          <cell r="M439" t="e">
            <v>#N/A</v>
          </cell>
        </row>
        <row r="440">
          <cell r="B440" t="str">
            <v>Транспортировка материалов, т (вид транспорта, км)</v>
          </cell>
          <cell r="F440">
            <v>1222</v>
          </cell>
          <cell r="H440">
            <v>24440</v>
          </cell>
          <cell r="I440">
            <v>20</v>
          </cell>
          <cell r="J440">
            <v>23218</v>
          </cell>
          <cell r="M440" t="e">
            <v>#N/A</v>
          </cell>
        </row>
        <row r="441">
          <cell r="A441">
            <v>1</v>
          </cell>
          <cell r="C441" t="str">
            <v>т</v>
          </cell>
          <cell r="D441">
            <v>1222</v>
          </cell>
          <cell r="E441">
            <v>1</v>
          </cell>
          <cell r="F441">
            <v>1222</v>
          </cell>
          <cell r="G441">
            <v>20</v>
          </cell>
          <cell r="H441">
            <v>24440</v>
          </cell>
          <cell r="I441">
            <v>20</v>
          </cell>
          <cell r="J441">
            <v>23218</v>
          </cell>
          <cell r="M441" t="e">
            <v>#N/A</v>
          </cell>
        </row>
        <row r="442">
          <cell r="A442">
            <v>2</v>
          </cell>
          <cell r="C442" t="str">
            <v>т</v>
          </cell>
          <cell r="F442">
            <v>0</v>
          </cell>
          <cell r="H442">
            <v>0</v>
          </cell>
          <cell r="I442" t="e">
            <v>#DIV/0!</v>
          </cell>
          <cell r="J442">
            <v>0</v>
          </cell>
          <cell r="M442" t="e">
            <v>#N/A</v>
          </cell>
        </row>
        <row r="443">
          <cell r="A443">
            <v>3</v>
          </cell>
          <cell r="C443" t="str">
            <v>т</v>
          </cell>
          <cell r="F443">
            <v>0</v>
          </cell>
          <cell r="H443">
            <v>0</v>
          </cell>
          <cell r="I443" t="e">
            <v>#DIV/0!</v>
          </cell>
          <cell r="J443">
            <v>0</v>
          </cell>
          <cell r="M443" t="e">
            <v>#N/A</v>
          </cell>
        </row>
        <row r="444">
          <cell r="A444">
            <v>4</v>
          </cell>
          <cell r="C444" t="str">
            <v>т</v>
          </cell>
          <cell r="F444">
            <v>0</v>
          </cell>
          <cell r="H444">
            <v>0</v>
          </cell>
          <cell r="I444" t="e">
            <v>#DIV/0!</v>
          </cell>
          <cell r="J444">
            <v>0</v>
          </cell>
          <cell r="M444" t="e">
            <v>#N/A</v>
          </cell>
        </row>
        <row r="445">
          <cell r="A445">
            <v>5</v>
          </cell>
          <cell r="C445" t="str">
            <v>т</v>
          </cell>
          <cell r="F445">
            <v>0</v>
          </cell>
          <cell r="H445">
            <v>0</v>
          </cell>
          <cell r="I445" t="e">
            <v>#DIV/0!</v>
          </cell>
          <cell r="J445">
            <v>0</v>
          </cell>
          <cell r="M445" t="e">
            <v>#N/A</v>
          </cell>
        </row>
        <row r="446">
          <cell r="A446">
            <v>6</v>
          </cell>
          <cell r="C446" t="str">
            <v>т</v>
          </cell>
          <cell r="F446">
            <v>0</v>
          </cell>
          <cell r="H446">
            <v>0</v>
          </cell>
          <cell r="I446" t="e">
            <v>#DIV/0!</v>
          </cell>
          <cell r="J446">
            <v>0</v>
          </cell>
          <cell r="M446" t="e">
            <v>#N/A</v>
          </cell>
        </row>
        <row r="447">
          <cell r="A447">
            <v>7</v>
          </cell>
          <cell r="C447" t="str">
            <v>т</v>
          </cell>
          <cell r="F447">
            <v>0</v>
          </cell>
          <cell r="H447">
            <v>0</v>
          </cell>
          <cell r="I447" t="e">
            <v>#DIV/0!</v>
          </cell>
          <cell r="J447">
            <v>0</v>
          </cell>
          <cell r="M447" t="e">
            <v>#N/A</v>
          </cell>
        </row>
        <row r="448">
          <cell r="A448">
            <v>8</v>
          </cell>
          <cell r="C448" t="str">
            <v>т</v>
          </cell>
          <cell r="F448">
            <v>0</v>
          </cell>
          <cell r="H448">
            <v>0</v>
          </cell>
          <cell r="I448" t="e">
            <v>#DIV/0!</v>
          </cell>
          <cell r="J448">
            <v>0</v>
          </cell>
          <cell r="M448" t="e">
            <v>#N/A</v>
          </cell>
        </row>
        <row r="449">
          <cell r="A449">
            <v>9</v>
          </cell>
          <cell r="C449" t="str">
            <v>т</v>
          </cell>
          <cell r="F449">
            <v>0</v>
          </cell>
          <cell r="H449">
            <v>0</v>
          </cell>
          <cell r="I449" t="e">
            <v>#DIV/0!</v>
          </cell>
          <cell r="J449">
            <v>0</v>
          </cell>
          <cell r="M449" t="e">
            <v>#N/A</v>
          </cell>
        </row>
        <row r="450">
          <cell r="A450">
            <v>10</v>
          </cell>
          <cell r="C450" t="str">
            <v>т</v>
          </cell>
          <cell r="F450">
            <v>0</v>
          </cell>
          <cell r="H450">
            <v>0</v>
          </cell>
          <cell r="I450" t="e">
            <v>#DIV/0!</v>
          </cell>
          <cell r="J450">
            <v>0</v>
          </cell>
          <cell r="M450" t="e">
            <v>#N/A</v>
          </cell>
        </row>
        <row r="451">
          <cell r="M451" t="e">
            <v>#N/A</v>
          </cell>
        </row>
        <row r="452">
          <cell r="B452" t="str">
            <v>Заготовительно-складские расходы</v>
          </cell>
          <cell r="F452">
            <v>24.44</v>
          </cell>
          <cell r="H452">
            <v>0</v>
          </cell>
          <cell r="I452">
            <v>0</v>
          </cell>
          <cell r="J452">
            <v>-24.44</v>
          </cell>
          <cell r="M452" t="e">
            <v>#N/A</v>
          </cell>
        </row>
        <row r="453">
          <cell r="A453">
            <v>1</v>
          </cell>
          <cell r="B453">
            <v>0</v>
          </cell>
          <cell r="C453" t="str">
            <v>руб</v>
          </cell>
          <cell r="D453">
            <v>0.02</v>
          </cell>
          <cell r="E453">
            <v>1222</v>
          </cell>
          <cell r="F453">
            <v>24.44</v>
          </cell>
          <cell r="H453">
            <v>0</v>
          </cell>
          <cell r="I453">
            <v>0</v>
          </cell>
          <cell r="J453">
            <v>-24.44</v>
          </cell>
          <cell r="M453" t="e">
            <v>#N/A</v>
          </cell>
        </row>
        <row r="454">
          <cell r="A454">
            <v>2</v>
          </cell>
          <cell r="B454">
            <v>0</v>
          </cell>
          <cell r="C454" t="str">
            <v>руб</v>
          </cell>
          <cell r="E454">
            <v>0</v>
          </cell>
          <cell r="F454">
            <v>0</v>
          </cell>
          <cell r="H454">
            <v>0</v>
          </cell>
          <cell r="I454" t="e">
            <v>#DIV/0!</v>
          </cell>
          <cell r="J454">
            <v>0</v>
          </cell>
          <cell r="M454" t="e">
            <v>#N/A</v>
          </cell>
        </row>
        <row r="455">
          <cell r="A455">
            <v>3</v>
          </cell>
          <cell r="B455">
            <v>0</v>
          </cell>
          <cell r="C455" t="str">
            <v>руб</v>
          </cell>
          <cell r="E455">
            <v>0</v>
          </cell>
          <cell r="F455">
            <v>0</v>
          </cell>
          <cell r="H455">
            <v>0</v>
          </cell>
          <cell r="I455" t="e">
            <v>#DIV/0!</v>
          </cell>
          <cell r="J455">
            <v>0</v>
          </cell>
          <cell r="M455" t="e">
            <v>#N/A</v>
          </cell>
        </row>
        <row r="456">
          <cell r="A456">
            <v>4</v>
          </cell>
          <cell r="B456">
            <v>0</v>
          </cell>
          <cell r="C456" t="str">
            <v>руб</v>
          </cell>
          <cell r="E456">
            <v>0</v>
          </cell>
          <cell r="F456">
            <v>0</v>
          </cell>
          <cell r="H456">
            <v>0</v>
          </cell>
          <cell r="I456" t="e">
            <v>#DIV/0!</v>
          </cell>
          <cell r="J456">
            <v>0</v>
          </cell>
          <cell r="M456" t="e">
            <v>#N/A</v>
          </cell>
        </row>
        <row r="457">
          <cell r="A457">
            <v>5</v>
          </cell>
          <cell r="B457">
            <v>0</v>
          </cell>
          <cell r="C457" t="str">
            <v>руб</v>
          </cell>
          <cell r="E457">
            <v>0</v>
          </cell>
          <cell r="F457">
            <v>0</v>
          </cell>
          <cell r="H457">
            <v>0</v>
          </cell>
          <cell r="I457" t="e">
            <v>#DIV/0!</v>
          </cell>
          <cell r="J457">
            <v>0</v>
          </cell>
          <cell r="M457" t="e">
            <v>#N/A</v>
          </cell>
        </row>
        <row r="458">
          <cell r="A458">
            <v>6</v>
          </cell>
          <cell r="B458">
            <v>0</v>
          </cell>
          <cell r="C458" t="str">
            <v>руб</v>
          </cell>
          <cell r="E458">
            <v>0</v>
          </cell>
          <cell r="F458">
            <v>0</v>
          </cell>
          <cell r="H458">
            <v>0</v>
          </cell>
          <cell r="I458" t="e">
            <v>#DIV/0!</v>
          </cell>
          <cell r="J458">
            <v>0</v>
          </cell>
          <cell r="M458" t="e">
            <v>#N/A</v>
          </cell>
        </row>
        <row r="459">
          <cell r="A459">
            <v>7</v>
          </cell>
          <cell r="B459">
            <v>0</v>
          </cell>
          <cell r="C459" t="str">
            <v>руб</v>
          </cell>
          <cell r="E459">
            <v>0</v>
          </cell>
          <cell r="F459">
            <v>0</v>
          </cell>
          <cell r="H459">
            <v>0</v>
          </cell>
          <cell r="I459" t="e">
            <v>#DIV/0!</v>
          </cell>
          <cell r="J459">
            <v>0</v>
          </cell>
          <cell r="M459" t="e">
            <v>#N/A</v>
          </cell>
        </row>
        <row r="460">
          <cell r="A460">
            <v>8</v>
          </cell>
          <cell r="B460">
            <v>0</v>
          </cell>
          <cell r="C460" t="str">
            <v>руб</v>
          </cell>
          <cell r="E460">
            <v>0</v>
          </cell>
          <cell r="F460">
            <v>0</v>
          </cell>
          <cell r="H460">
            <v>0</v>
          </cell>
          <cell r="I460" t="e">
            <v>#DIV/0!</v>
          </cell>
          <cell r="J460">
            <v>0</v>
          </cell>
          <cell r="M460" t="e">
            <v>#N/A</v>
          </cell>
        </row>
        <row r="461">
          <cell r="A461">
            <v>9</v>
          </cell>
          <cell r="B461">
            <v>0</v>
          </cell>
          <cell r="C461" t="str">
            <v>руб</v>
          </cell>
          <cell r="E461">
            <v>0</v>
          </cell>
          <cell r="F461">
            <v>0</v>
          </cell>
          <cell r="H461">
            <v>0</v>
          </cell>
          <cell r="I461" t="e">
            <v>#DIV/0!</v>
          </cell>
          <cell r="J461">
            <v>0</v>
          </cell>
          <cell r="M461" t="e">
            <v>#N/A</v>
          </cell>
        </row>
        <row r="462">
          <cell r="A462">
            <v>10</v>
          </cell>
          <cell r="B462">
            <v>0</v>
          </cell>
          <cell r="C462" t="str">
            <v>руб</v>
          </cell>
          <cell r="E462">
            <v>0</v>
          </cell>
          <cell r="F462">
            <v>0</v>
          </cell>
          <cell r="H462">
            <v>0</v>
          </cell>
          <cell r="I462" t="e">
            <v>#DIV/0!</v>
          </cell>
          <cell r="J462">
            <v>0</v>
          </cell>
          <cell r="M462" t="e">
            <v>#N/A</v>
          </cell>
        </row>
        <row r="463">
          <cell r="M463" t="e">
            <v>#N/A</v>
          </cell>
        </row>
        <row r="464">
          <cell r="M464" t="e">
            <v>#N/A</v>
          </cell>
        </row>
        <row r="465">
          <cell r="B465" t="str">
            <v>Составил:______________________________</v>
          </cell>
          <cell r="M465" t="e">
            <v>#N/A</v>
          </cell>
        </row>
        <row r="466">
          <cell r="M466" t="e">
            <v>#N/A</v>
          </cell>
        </row>
        <row r="467">
          <cell r="B467" t="str">
            <v>Начальник ТДО: ________________________</v>
          </cell>
        </row>
        <row r="468">
          <cell r="B468" t="str">
            <v>Район: Анапский \ Подъезд к п.Витязево 0+000-3+066  \ Поверхностная обработка (II вариант)</v>
          </cell>
          <cell r="K468">
            <v>9</v>
          </cell>
          <cell r="M468" t="str">
            <v>Анапский</v>
          </cell>
        </row>
        <row r="469">
          <cell r="A469" t="str">
            <v>9-1.1.</v>
          </cell>
          <cell r="B469" t="str">
            <v>Фонд заработной платы</v>
          </cell>
          <cell r="D469">
            <v>12097</v>
          </cell>
          <cell r="F469">
            <v>8248</v>
          </cell>
          <cell r="H469">
            <v>163136.69400000002</v>
          </cell>
          <cell r="I469">
            <v>19.778939621726483</v>
          </cell>
          <cell r="J469">
            <v>154888.69400000002</v>
          </cell>
          <cell r="K469">
            <v>9</v>
          </cell>
          <cell r="L469" t="str">
            <v>1.1.</v>
          </cell>
          <cell r="M469" t="str">
            <v>Анапский</v>
          </cell>
        </row>
        <row r="470">
          <cell r="A470" t="str">
            <v>9-1.1.1.</v>
          </cell>
          <cell r="B470" t="str">
            <v>Основные рабочие</v>
          </cell>
          <cell r="C470" t="str">
            <v>ч/ч</v>
          </cell>
          <cell r="D470">
            <v>7484</v>
          </cell>
          <cell r="E470">
            <v>0.55104222340994125</v>
          </cell>
          <cell r="F470">
            <v>4124</v>
          </cell>
          <cell r="G470">
            <v>12.201000000000002</v>
          </cell>
          <cell r="H470">
            <v>91312.284000000014</v>
          </cell>
          <cell r="I470">
            <v>22.141678952473331</v>
          </cell>
          <cell r="J470">
            <v>87188.284000000014</v>
          </cell>
          <cell r="K470">
            <v>9</v>
          </cell>
          <cell r="L470" t="str">
            <v>1.1.1.</v>
          </cell>
          <cell r="M470" t="str">
            <v>Анапский</v>
          </cell>
        </row>
        <row r="471">
          <cell r="A471" t="str">
            <v>9-1.1.2.</v>
          </cell>
          <cell r="B471" t="str">
            <v>Машинисты</v>
          </cell>
          <cell r="C471" t="str">
            <v>ч/ч</v>
          </cell>
          <cell r="D471">
            <v>4613</v>
          </cell>
          <cell r="E471">
            <v>0.89399523086928245</v>
          </cell>
          <cell r="F471">
            <v>4124</v>
          </cell>
          <cell r="G471">
            <v>15.57</v>
          </cell>
          <cell r="H471">
            <v>71824.41</v>
          </cell>
          <cell r="I471">
            <v>17.416200290979631</v>
          </cell>
          <cell r="J471">
            <v>67700.41</v>
          </cell>
          <cell r="K471">
            <v>9</v>
          </cell>
          <cell r="L471" t="str">
            <v>1.1.2.</v>
          </cell>
          <cell r="M471" t="str">
            <v>Анапский</v>
          </cell>
        </row>
        <row r="472">
          <cell r="M472" t="str">
            <v>Анапский</v>
          </cell>
        </row>
        <row r="473">
          <cell r="A473" t="str">
            <v>9-1.2.</v>
          </cell>
          <cell r="B473" t="str">
            <v>Технические ресурсы по нормам СНиП (без зарботной платы машиниста)</v>
          </cell>
          <cell r="F473">
            <v>256.8</v>
          </cell>
          <cell r="H473">
            <v>14000</v>
          </cell>
          <cell r="I473">
            <v>54.517133956386289</v>
          </cell>
          <cell r="J473">
            <v>13743.2</v>
          </cell>
          <cell r="K473">
            <v>9</v>
          </cell>
          <cell r="L473" t="str">
            <v>1.2.</v>
          </cell>
          <cell r="M473" t="str">
            <v>Анапский</v>
          </cell>
        </row>
        <row r="474">
          <cell r="A474">
            <v>1</v>
          </cell>
          <cell r="B474" t="str">
            <v>Автогрейдер средний</v>
          </cell>
          <cell r="C474" t="str">
            <v>м/ч</v>
          </cell>
          <cell r="D474">
            <v>100</v>
          </cell>
          <cell r="E474">
            <v>2.5680000000000001</v>
          </cell>
          <cell r="F474">
            <v>256.8</v>
          </cell>
          <cell r="G474">
            <v>140</v>
          </cell>
          <cell r="H474">
            <v>14000</v>
          </cell>
          <cell r="I474">
            <v>54.517133956386289</v>
          </cell>
          <cell r="J474">
            <v>13743.2</v>
          </cell>
          <cell r="M474" t="str">
            <v>Анапский</v>
          </cell>
        </row>
        <row r="475">
          <cell r="A475">
            <v>2</v>
          </cell>
          <cell r="B475" t="str">
            <v>Бульдозер</v>
          </cell>
          <cell r="C475" t="str">
            <v>м/ч</v>
          </cell>
          <cell r="D475">
            <v>1</v>
          </cell>
          <cell r="F475">
            <v>0</v>
          </cell>
          <cell r="H475">
            <v>0</v>
          </cell>
          <cell r="I475" t="e">
            <v>#DIV/0!</v>
          </cell>
          <cell r="J475">
            <v>0</v>
          </cell>
          <cell r="M475" t="str">
            <v>Анапский</v>
          </cell>
        </row>
        <row r="476">
          <cell r="A476">
            <v>3</v>
          </cell>
          <cell r="C476" t="str">
            <v>м/ч</v>
          </cell>
          <cell r="D476">
            <v>1</v>
          </cell>
          <cell r="F476">
            <v>0</v>
          </cell>
          <cell r="H476">
            <v>0</v>
          </cell>
          <cell r="I476" t="e">
            <v>#DIV/0!</v>
          </cell>
          <cell r="J476">
            <v>0</v>
          </cell>
          <cell r="M476" t="str">
            <v>Анапский</v>
          </cell>
        </row>
        <row r="477">
          <cell r="A477">
            <v>4</v>
          </cell>
          <cell r="C477" t="str">
            <v>м/ч</v>
          </cell>
          <cell r="F477">
            <v>0</v>
          </cell>
          <cell r="H477">
            <v>0</v>
          </cell>
          <cell r="I477" t="e">
            <v>#DIV/0!</v>
          </cell>
          <cell r="J477">
            <v>0</v>
          </cell>
          <cell r="M477" t="str">
            <v>Анапский</v>
          </cell>
        </row>
        <row r="478">
          <cell r="A478">
            <v>5</v>
          </cell>
          <cell r="C478" t="str">
            <v>м/ч</v>
          </cell>
          <cell r="F478">
            <v>0</v>
          </cell>
          <cell r="H478">
            <v>0</v>
          </cell>
          <cell r="I478" t="e">
            <v>#DIV/0!</v>
          </cell>
          <cell r="J478">
            <v>0</v>
          </cell>
          <cell r="M478" t="str">
            <v>Анапский</v>
          </cell>
        </row>
        <row r="479">
          <cell r="A479">
            <v>6</v>
          </cell>
          <cell r="C479" t="str">
            <v>м/ч</v>
          </cell>
          <cell r="F479">
            <v>0</v>
          </cell>
          <cell r="H479">
            <v>0</v>
          </cell>
          <cell r="I479" t="e">
            <v>#DIV/0!</v>
          </cell>
          <cell r="J479">
            <v>0</v>
          </cell>
          <cell r="M479" t="str">
            <v>Анапский</v>
          </cell>
        </row>
        <row r="480">
          <cell r="A480">
            <v>7</v>
          </cell>
          <cell r="C480" t="str">
            <v>м/ч</v>
          </cell>
          <cell r="F480">
            <v>0</v>
          </cell>
          <cell r="H480">
            <v>0</v>
          </cell>
          <cell r="I480" t="e">
            <v>#DIV/0!</v>
          </cell>
          <cell r="J480">
            <v>0</v>
          </cell>
          <cell r="M480" t="str">
            <v>Анапский</v>
          </cell>
        </row>
        <row r="481">
          <cell r="A481">
            <v>8</v>
          </cell>
          <cell r="C481" t="str">
            <v>м/ч</v>
          </cell>
          <cell r="F481">
            <v>0</v>
          </cell>
          <cell r="H481">
            <v>0</v>
          </cell>
          <cell r="I481" t="e">
            <v>#DIV/0!</v>
          </cell>
          <cell r="J481">
            <v>0</v>
          </cell>
          <cell r="M481" t="str">
            <v>Анапский</v>
          </cell>
        </row>
        <row r="482">
          <cell r="A482">
            <v>9</v>
          </cell>
          <cell r="C482" t="str">
            <v>м/ч</v>
          </cell>
          <cell r="F482">
            <v>0</v>
          </cell>
          <cell r="H482">
            <v>0</v>
          </cell>
          <cell r="I482" t="e">
            <v>#DIV/0!</v>
          </cell>
          <cell r="J482">
            <v>0</v>
          </cell>
          <cell r="M482" t="str">
            <v>Анапский</v>
          </cell>
        </row>
        <row r="483">
          <cell r="A483">
            <v>10</v>
          </cell>
          <cell r="C483" t="str">
            <v>м/ч</v>
          </cell>
          <cell r="F483">
            <v>0</v>
          </cell>
          <cell r="H483">
            <v>0</v>
          </cell>
          <cell r="I483" t="e">
            <v>#DIV/0!</v>
          </cell>
          <cell r="J483">
            <v>0</v>
          </cell>
          <cell r="M483" t="str">
            <v>Анапский</v>
          </cell>
        </row>
        <row r="484">
          <cell r="M484" t="str">
            <v>Анапский</v>
          </cell>
        </row>
        <row r="485">
          <cell r="A485" t="str">
            <v>9-1.3.</v>
          </cell>
          <cell r="B485" t="str">
            <v>Материалы</v>
          </cell>
          <cell r="F485">
            <v>1246.44</v>
          </cell>
          <cell r="H485">
            <v>24440</v>
          </cell>
          <cell r="I485">
            <v>19.6078431372549</v>
          </cell>
          <cell r="J485">
            <v>23193.56</v>
          </cell>
          <cell r="K485">
            <v>9</v>
          </cell>
          <cell r="L485" t="str">
            <v>1.3.</v>
          </cell>
          <cell r="M485" t="str">
            <v>Анапский</v>
          </cell>
        </row>
        <row r="486">
          <cell r="B486" t="str">
            <v>Материальные ресурсы по нормам СНиП</v>
          </cell>
          <cell r="F486">
            <v>0</v>
          </cell>
          <cell r="H486">
            <v>0</v>
          </cell>
          <cell r="I486" t="e">
            <v>#DIV/0!</v>
          </cell>
          <cell r="J486">
            <v>0</v>
          </cell>
          <cell r="M486" t="str">
            <v>Анапский</v>
          </cell>
        </row>
        <row r="487">
          <cell r="A487">
            <v>1</v>
          </cell>
          <cell r="C487" t="str">
            <v>м3</v>
          </cell>
          <cell r="F487">
            <v>0</v>
          </cell>
          <cell r="H487">
            <v>0</v>
          </cell>
          <cell r="I487" t="e">
            <v>#DIV/0!</v>
          </cell>
          <cell r="J487">
            <v>0</v>
          </cell>
          <cell r="M487" t="str">
            <v>Анапский</v>
          </cell>
        </row>
        <row r="488">
          <cell r="A488">
            <v>2</v>
          </cell>
          <cell r="F488">
            <v>0</v>
          </cell>
          <cell r="H488">
            <v>0</v>
          </cell>
          <cell r="I488" t="e">
            <v>#DIV/0!</v>
          </cell>
          <cell r="J488">
            <v>0</v>
          </cell>
          <cell r="M488" t="str">
            <v>Анапский</v>
          </cell>
        </row>
        <row r="489">
          <cell r="A489">
            <v>3</v>
          </cell>
          <cell r="F489">
            <v>0</v>
          </cell>
          <cell r="H489">
            <v>0</v>
          </cell>
          <cell r="I489" t="e">
            <v>#DIV/0!</v>
          </cell>
          <cell r="J489">
            <v>0</v>
          </cell>
          <cell r="M489" t="str">
            <v>Анапский</v>
          </cell>
        </row>
        <row r="490">
          <cell r="A490">
            <v>4</v>
          </cell>
          <cell r="F490">
            <v>0</v>
          </cell>
          <cell r="H490">
            <v>0</v>
          </cell>
          <cell r="I490" t="e">
            <v>#DIV/0!</v>
          </cell>
          <cell r="J490">
            <v>0</v>
          </cell>
          <cell r="M490" t="str">
            <v>Анапский</v>
          </cell>
        </row>
        <row r="491">
          <cell r="A491">
            <v>5</v>
          </cell>
          <cell r="F491">
            <v>0</v>
          </cell>
          <cell r="H491">
            <v>0</v>
          </cell>
          <cell r="I491" t="e">
            <v>#DIV/0!</v>
          </cell>
          <cell r="J491">
            <v>0</v>
          </cell>
          <cell r="M491" t="str">
            <v>Анапский</v>
          </cell>
        </row>
        <row r="492">
          <cell r="A492">
            <v>6</v>
          </cell>
          <cell r="F492">
            <v>0</v>
          </cell>
          <cell r="H492">
            <v>0</v>
          </cell>
          <cell r="I492" t="e">
            <v>#DIV/0!</v>
          </cell>
          <cell r="J492">
            <v>0</v>
          </cell>
          <cell r="M492" t="str">
            <v>Анапский</v>
          </cell>
        </row>
        <row r="493">
          <cell r="A493">
            <v>7</v>
          </cell>
          <cell r="F493">
            <v>0</v>
          </cell>
          <cell r="H493">
            <v>0</v>
          </cell>
          <cell r="I493" t="e">
            <v>#DIV/0!</v>
          </cell>
          <cell r="J493">
            <v>0</v>
          </cell>
          <cell r="M493" t="str">
            <v>Анапский</v>
          </cell>
        </row>
        <row r="494">
          <cell r="A494">
            <v>8</v>
          </cell>
          <cell r="F494">
            <v>0</v>
          </cell>
          <cell r="H494">
            <v>0</v>
          </cell>
          <cell r="I494" t="e">
            <v>#DIV/0!</v>
          </cell>
          <cell r="J494">
            <v>0</v>
          </cell>
          <cell r="M494" t="str">
            <v>Анапский</v>
          </cell>
        </row>
        <row r="495">
          <cell r="A495">
            <v>9</v>
          </cell>
          <cell r="F495">
            <v>0</v>
          </cell>
          <cell r="H495">
            <v>0</v>
          </cell>
          <cell r="I495" t="e">
            <v>#DIV/0!</v>
          </cell>
          <cell r="J495">
            <v>0</v>
          </cell>
          <cell r="M495" t="str">
            <v>Анапский</v>
          </cell>
        </row>
        <row r="496">
          <cell r="A496">
            <v>10</v>
          </cell>
          <cell r="F496">
            <v>0</v>
          </cell>
          <cell r="H496">
            <v>0</v>
          </cell>
          <cell r="I496" t="e">
            <v>#DIV/0!</v>
          </cell>
          <cell r="J496">
            <v>0</v>
          </cell>
          <cell r="M496" t="str">
            <v>Анапский</v>
          </cell>
        </row>
        <row r="497">
          <cell r="M497" t="str">
            <v>Анапский</v>
          </cell>
        </row>
        <row r="498">
          <cell r="B498" t="str">
            <v>Транспортировка материалов, т (вид транспорта, км)</v>
          </cell>
          <cell r="F498">
            <v>1222</v>
          </cell>
          <cell r="H498">
            <v>24440</v>
          </cell>
          <cell r="I498">
            <v>20</v>
          </cell>
          <cell r="J498">
            <v>23218</v>
          </cell>
          <cell r="M498" t="str">
            <v>Анапский</v>
          </cell>
        </row>
        <row r="499">
          <cell r="A499">
            <v>1</v>
          </cell>
          <cell r="C499" t="str">
            <v>т</v>
          </cell>
          <cell r="D499">
            <v>1222</v>
          </cell>
          <cell r="E499">
            <v>1</v>
          </cell>
          <cell r="F499">
            <v>1222</v>
          </cell>
          <cell r="G499">
            <v>20</v>
          </cell>
          <cell r="H499">
            <v>24440</v>
          </cell>
          <cell r="I499">
            <v>20</v>
          </cell>
          <cell r="J499">
            <v>23218</v>
          </cell>
          <cell r="M499" t="str">
            <v>Анапский</v>
          </cell>
        </row>
        <row r="500">
          <cell r="A500">
            <v>2</v>
          </cell>
          <cell r="C500" t="str">
            <v>т</v>
          </cell>
          <cell r="F500">
            <v>0</v>
          </cell>
          <cell r="H500">
            <v>0</v>
          </cell>
          <cell r="I500" t="e">
            <v>#DIV/0!</v>
          </cell>
          <cell r="J500">
            <v>0</v>
          </cell>
          <cell r="M500" t="str">
            <v>Анапский</v>
          </cell>
        </row>
        <row r="501">
          <cell r="A501">
            <v>3</v>
          </cell>
          <cell r="C501" t="str">
            <v>т</v>
          </cell>
          <cell r="F501">
            <v>0</v>
          </cell>
          <cell r="H501">
            <v>0</v>
          </cell>
          <cell r="I501" t="e">
            <v>#DIV/0!</v>
          </cell>
          <cell r="J501">
            <v>0</v>
          </cell>
          <cell r="M501" t="str">
            <v>Анапский</v>
          </cell>
        </row>
        <row r="502">
          <cell r="A502">
            <v>4</v>
          </cell>
          <cell r="C502" t="str">
            <v>т</v>
          </cell>
          <cell r="F502">
            <v>0</v>
          </cell>
          <cell r="H502">
            <v>0</v>
          </cell>
          <cell r="I502" t="e">
            <v>#DIV/0!</v>
          </cell>
          <cell r="J502">
            <v>0</v>
          </cell>
          <cell r="M502" t="str">
            <v>Анапский</v>
          </cell>
        </row>
        <row r="503">
          <cell r="A503">
            <v>5</v>
          </cell>
          <cell r="C503" t="str">
            <v>т</v>
          </cell>
          <cell r="F503">
            <v>0</v>
          </cell>
          <cell r="H503">
            <v>0</v>
          </cell>
          <cell r="I503" t="e">
            <v>#DIV/0!</v>
          </cell>
          <cell r="J503">
            <v>0</v>
          </cell>
          <cell r="M503" t="str">
            <v>Анапский</v>
          </cell>
        </row>
        <row r="504">
          <cell r="A504">
            <v>6</v>
          </cell>
          <cell r="C504" t="str">
            <v>т</v>
          </cell>
          <cell r="F504">
            <v>0</v>
          </cell>
          <cell r="H504">
            <v>0</v>
          </cell>
          <cell r="I504" t="e">
            <v>#DIV/0!</v>
          </cell>
          <cell r="J504">
            <v>0</v>
          </cell>
          <cell r="M504" t="str">
            <v>Анапский</v>
          </cell>
        </row>
        <row r="505">
          <cell r="A505">
            <v>7</v>
          </cell>
          <cell r="C505" t="str">
            <v>т</v>
          </cell>
          <cell r="F505">
            <v>0</v>
          </cell>
          <cell r="H505">
            <v>0</v>
          </cell>
          <cell r="I505" t="e">
            <v>#DIV/0!</v>
          </cell>
          <cell r="J505">
            <v>0</v>
          </cell>
          <cell r="M505" t="str">
            <v>Анапский</v>
          </cell>
        </row>
        <row r="506">
          <cell r="A506">
            <v>8</v>
          </cell>
          <cell r="C506" t="str">
            <v>т</v>
          </cell>
          <cell r="F506">
            <v>0</v>
          </cell>
          <cell r="H506">
            <v>0</v>
          </cell>
          <cell r="I506" t="e">
            <v>#DIV/0!</v>
          </cell>
          <cell r="J506">
            <v>0</v>
          </cell>
          <cell r="M506" t="str">
            <v>Анапский</v>
          </cell>
        </row>
        <row r="507">
          <cell r="A507">
            <v>9</v>
          </cell>
          <cell r="C507" t="str">
            <v>т</v>
          </cell>
          <cell r="F507">
            <v>0</v>
          </cell>
          <cell r="H507">
            <v>0</v>
          </cell>
          <cell r="I507" t="e">
            <v>#DIV/0!</v>
          </cell>
          <cell r="J507">
            <v>0</v>
          </cell>
          <cell r="M507" t="str">
            <v>Анапский</v>
          </cell>
        </row>
        <row r="508">
          <cell r="A508">
            <v>10</v>
          </cell>
          <cell r="C508" t="str">
            <v>т</v>
          </cell>
          <cell r="F508">
            <v>0</v>
          </cell>
          <cell r="H508">
            <v>0</v>
          </cell>
          <cell r="I508" t="e">
            <v>#DIV/0!</v>
          </cell>
          <cell r="J508">
            <v>0</v>
          </cell>
          <cell r="M508" t="str">
            <v>Анапский</v>
          </cell>
        </row>
        <row r="509">
          <cell r="M509" t="str">
            <v>Анапский</v>
          </cell>
        </row>
        <row r="510">
          <cell r="B510" t="str">
            <v>Заготовительно-складские расходы</v>
          </cell>
          <cell r="F510">
            <v>24.44</v>
          </cell>
          <cell r="H510">
            <v>0</v>
          </cell>
          <cell r="I510">
            <v>0</v>
          </cell>
          <cell r="J510">
            <v>-24.44</v>
          </cell>
          <cell r="M510" t="str">
            <v>Анапский</v>
          </cell>
        </row>
        <row r="511">
          <cell r="A511">
            <v>1</v>
          </cell>
          <cell r="B511">
            <v>0</v>
          </cell>
          <cell r="C511" t="str">
            <v>руб</v>
          </cell>
          <cell r="D511">
            <v>0.02</v>
          </cell>
          <cell r="E511">
            <v>1222</v>
          </cell>
          <cell r="F511">
            <v>24.44</v>
          </cell>
          <cell r="H511">
            <v>0</v>
          </cell>
          <cell r="I511">
            <v>0</v>
          </cell>
          <cell r="J511">
            <v>-24.44</v>
          </cell>
          <cell r="M511" t="str">
            <v>Анапский</v>
          </cell>
        </row>
        <row r="512">
          <cell r="A512">
            <v>2</v>
          </cell>
          <cell r="B512">
            <v>0</v>
          </cell>
          <cell r="C512" t="str">
            <v>руб</v>
          </cell>
          <cell r="E512">
            <v>0</v>
          </cell>
          <cell r="F512">
            <v>0</v>
          </cell>
          <cell r="H512">
            <v>0</v>
          </cell>
          <cell r="I512" t="e">
            <v>#DIV/0!</v>
          </cell>
          <cell r="J512">
            <v>0</v>
          </cell>
          <cell r="M512" t="str">
            <v>Анапский</v>
          </cell>
        </row>
        <row r="513">
          <cell r="A513">
            <v>3</v>
          </cell>
          <cell r="B513">
            <v>0</v>
          </cell>
          <cell r="C513" t="str">
            <v>руб</v>
          </cell>
          <cell r="E513">
            <v>0</v>
          </cell>
          <cell r="F513">
            <v>0</v>
          </cell>
          <cell r="H513">
            <v>0</v>
          </cell>
          <cell r="I513" t="e">
            <v>#DIV/0!</v>
          </cell>
          <cell r="J513">
            <v>0</v>
          </cell>
          <cell r="M513" t="str">
            <v>Анапский</v>
          </cell>
        </row>
        <row r="514">
          <cell r="A514">
            <v>4</v>
          </cell>
          <cell r="B514">
            <v>0</v>
          </cell>
          <cell r="C514" t="str">
            <v>руб</v>
          </cell>
          <cell r="E514">
            <v>0</v>
          </cell>
          <cell r="F514">
            <v>0</v>
          </cell>
          <cell r="H514">
            <v>0</v>
          </cell>
          <cell r="I514" t="e">
            <v>#DIV/0!</v>
          </cell>
          <cell r="J514">
            <v>0</v>
          </cell>
          <cell r="M514" t="str">
            <v>Анапский</v>
          </cell>
        </row>
        <row r="515">
          <cell r="A515">
            <v>5</v>
          </cell>
          <cell r="B515">
            <v>0</v>
          </cell>
          <cell r="C515" t="str">
            <v>руб</v>
          </cell>
          <cell r="E515">
            <v>0</v>
          </cell>
          <cell r="F515">
            <v>0</v>
          </cell>
          <cell r="H515">
            <v>0</v>
          </cell>
          <cell r="I515" t="e">
            <v>#DIV/0!</v>
          </cell>
          <cell r="J515">
            <v>0</v>
          </cell>
          <cell r="M515" t="str">
            <v>Анапский</v>
          </cell>
        </row>
        <row r="516">
          <cell r="A516">
            <v>6</v>
          </cell>
          <cell r="B516">
            <v>0</v>
          </cell>
          <cell r="C516" t="str">
            <v>руб</v>
          </cell>
          <cell r="E516">
            <v>0</v>
          </cell>
          <cell r="F516">
            <v>0</v>
          </cell>
          <cell r="H516">
            <v>0</v>
          </cell>
          <cell r="I516" t="e">
            <v>#DIV/0!</v>
          </cell>
          <cell r="J516">
            <v>0</v>
          </cell>
          <cell r="M516" t="str">
            <v>Анапский</v>
          </cell>
        </row>
        <row r="517">
          <cell r="A517">
            <v>7</v>
          </cell>
          <cell r="B517">
            <v>0</v>
          </cell>
          <cell r="C517" t="str">
            <v>руб</v>
          </cell>
          <cell r="E517">
            <v>0</v>
          </cell>
          <cell r="F517">
            <v>0</v>
          </cell>
          <cell r="H517">
            <v>0</v>
          </cell>
          <cell r="I517" t="e">
            <v>#DIV/0!</v>
          </cell>
          <cell r="J517">
            <v>0</v>
          </cell>
          <cell r="M517" t="str">
            <v>Анапский</v>
          </cell>
        </row>
        <row r="518">
          <cell r="A518">
            <v>8</v>
          </cell>
          <cell r="B518">
            <v>0</v>
          </cell>
          <cell r="C518" t="str">
            <v>руб</v>
          </cell>
          <cell r="E518">
            <v>0</v>
          </cell>
          <cell r="F518">
            <v>0</v>
          </cell>
          <cell r="H518">
            <v>0</v>
          </cell>
          <cell r="I518" t="e">
            <v>#DIV/0!</v>
          </cell>
          <cell r="J518">
            <v>0</v>
          </cell>
          <cell r="M518" t="str">
            <v>Анапский</v>
          </cell>
        </row>
        <row r="519">
          <cell r="A519">
            <v>9</v>
          </cell>
          <cell r="B519">
            <v>0</v>
          </cell>
          <cell r="C519" t="str">
            <v>руб</v>
          </cell>
          <cell r="E519">
            <v>0</v>
          </cell>
          <cell r="F519">
            <v>0</v>
          </cell>
          <cell r="H519">
            <v>0</v>
          </cell>
          <cell r="I519" t="e">
            <v>#DIV/0!</v>
          </cell>
          <cell r="J519">
            <v>0</v>
          </cell>
          <cell r="M519" t="str">
            <v>Анапский</v>
          </cell>
        </row>
        <row r="520">
          <cell r="A520">
            <v>10</v>
          </cell>
          <cell r="B520">
            <v>0</v>
          </cell>
          <cell r="C520" t="str">
            <v>руб</v>
          </cell>
          <cell r="E520">
            <v>0</v>
          </cell>
          <cell r="F520">
            <v>0</v>
          </cell>
          <cell r="H520">
            <v>0</v>
          </cell>
          <cell r="I520" t="e">
            <v>#DIV/0!</v>
          </cell>
          <cell r="J520">
            <v>0</v>
          </cell>
          <cell r="M520" t="str">
            <v>Анапский</v>
          </cell>
        </row>
        <row r="521">
          <cell r="M521" t="str">
            <v>Анапский</v>
          </cell>
        </row>
        <row r="522">
          <cell r="M522" t="str">
            <v>Анапский</v>
          </cell>
        </row>
        <row r="523">
          <cell r="B523" t="str">
            <v>Составил:______________________________</v>
          </cell>
          <cell r="M523" t="str">
            <v>Анапский</v>
          </cell>
        </row>
        <row r="524">
          <cell r="M524" t="str">
            <v>Анапский</v>
          </cell>
        </row>
        <row r="525">
          <cell r="B525" t="str">
            <v>Начальник ТДО: ________________________</v>
          </cell>
        </row>
        <row r="526">
          <cell r="B526" t="str">
            <v>Район: Анапский \ Подъезд  к х. Цибанобалка  км 0+000-2+081 \ Поверхностная обработка (II вариант)</v>
          </cell>
          <cell r="K526">
            <v>10</v>
          </cell>
          <cell r="M526" t="str">
            <v>Анапский</v>
          </cell>
        </row>
        <row r="527">
          <cell r="A527" t="str">
            <v>10-1.1.</v>
          </cell>
          <cell r="B527" t="str">
            <v>Фонд заработной платы</v>
          </cell>
          <cell r="D527">
            <v>12097</v>
          </cell>
          <cell r="F527">
            <v>8248</v>
          </cell>
          <cell r="H527">
            <v>163136.69400000002</v>
          </cell>
          <cell r="I527">
            <v>19.778939621726483</v>
          </cell>
          <cell r="J527">
            <v>154888.69400000002</v>
          </cell>
          <cell r="K527">
            <v>10</v>
          </cell>
          <cell r="L527" t="str">
            <v>1.1.</v>
          </cell>
          <cell r="M527" t="str">
            <v>Анапский</v>
          </cell>
        </row>
        <row r="528">
          <cell r="A528" t="str">
            <v>10-1.1.1.</v>
          </cell>
          <cell r="B528" t="str">
            <v>Основные рабочие</v>
          </cell>
          <cell r="C528" t="str">
            <v>ч/ч</v>
          </cell>
          <cell r="D528">
            <v>7484</v>
          </cell>
          <cell r="E528">
            <v>0.55104222340994125</v>
          </cell>
          <cell r="F528">
            <v>4124</v>
          </cell>
          <cell r="G528">
            <v>12.201000000000002</v>
          </cell>
          <cell r="H528">
            <v>91312.284000000014</v>
          </cell>
          <cell r="I528">
            <v>22.141678952473331</v>
          </cell>
          <cell r="J528">
            <v>87188.284000000014</v>
          </cell>
          <cell r="K528">
            <v>10</v>
          </cell>
          <cell r="L528" t="str">
            <v>1.1.1.</v>
          </cell>
          <cell r="M528" t="str">
            <v>Анапский</v>
          </cell>
        </row>
        <row r="529">
          <cell r="A529" t="str">
            <v>10-1.1.2.</v>
          </cell>
          <cell r="B529" t="str">
            <v>Машинисты</v>
          </cell>
          <cell r="C529" t="str">
            <v>ч/ч</v>
          </cell>
          <cell r="D529">
            <v>4613</v>
          </cell>
          <cell r="E529">
            <v>0.89399523086928245</v>
          </cell>
          <cell r="F529">
            <v>4124</v>
          </cell>
          <cell r="G529">
            <v>15.57</v>
          </cell>
          <cell r="H529">
            <v>71824.41</v>
          </cell>
          <cell r="I529">
            <v>17.416200290979631</v>
          </cell>
          <cell r="J529">
            <v>67700.41</v>
          </cell>
          <cell r="K529">
            <v>10</v>
          </cell>
          <cell r="L529" t="str">
            <v>1.1.2.</v>
          </cell>
          <cell r="M529" t="str">
            <v>Анапский</v>
          </cell>
        </row>
        <row r="530">
          <cell r="M530" t="str">
            <v>Анапский</v>
          </cell>
        </row>
        <row r="531">
          <cell r="A531" t="str">
            <v>10-1.2.</v>
          </cell>
          <cell r="B531" t="str">
            <v>Технические ресурсы по нормам СНиП (без зарботной платы машиниста)</v>
          </cell>
          <cell r="F531">
            <v>256.8</v>
          </cell>
          <cell r="H531">
            <v>14000</v>
          </cell>
          <cell r="I531">
            <v>54.517133956386289</v>
          </cell>
          <cell r="J531">
            <v>13743.2</v>
          </cell>
          <cell r="K531">
            <v>10</v>
          </cell>
          <cell r="L531" t="str">
            <v>1.2.</v>
          </cell>
          <cell r="M531" t="str">
            <v>Анапский</v>
          </cell>
        </row>
        <row r="532">
          <cell r="A532">
            <v>1</v>
          </cell>
          <cell r="B532" t="str">
            <v>Автогрейдер средний</v>
          </cell>
          <cell r="C532" t="str">
            <v>м/ч</v>
          </cell>
          <cell r="D532">
            <v>100</v>
          </cell>
          <cell r="E532">
            <v>2.5680000000000001</v>
          </cell>
          <cell r="F532">
            <v>256.8</v>
          </cell>
          <cell r="G532">
            <v>140</v>
          </cell>
          <cell r="H532">
            <v>14000</v>
          </cell>
          <cell r="I532">
            <v>54.517133956386289</v>
          </cell>
          <cell r="J532">
            <v>13743.2</v>
          </cell>
          <cell r="M532" t="str">
            <v>Анапский</v>
          </cell>
        </row>
        <row r="533">
          <cell r="A533">
            <v>2</v>
          </cell>
          <cell r="B533" t="str">
            <v>Бульдозер</v>
          </cell>
          <cell r="C533" t="str">
            <v>м/ч</v>
          </cell>
          <cell r="D533">
            <v>1</v>
          </cell>
          <cell r="F533">
            <v>0</v>
          </cell>
          <cell r="H533">
            <v>0</v>
          </cell>
          <cell r="I533" t="e">
            <v>#DIV/0!</v>
          </cell>
          <cell r="J533">
            <v>0</v>
          </cell>
          <cell r="M533" t="str">
            <v>Анапский</v>
          </cell>
        </row>
        <row r="534">
          <cell r="A534">
            <v>3</v>
          </cell>
          <cell r="C534" t="str">
            <v>м/ч</v>
          </cell>
          <cell r="D534">
            <v>1</v>
          </cell>
          <cell r="F534">
            <v>0</v>
          </cell>
          <cell r="H534">
            <v>0</v>
          </cell>
          <cell r="I534" t="e">
            <v>#DIV/0!</v>
          </cell>
          <cell r="J534">
            <v>0</v>
          </cell>
          <cell r="M534" t="str">
            <v>Анапский</v>
          </cell>
        </row>
        <row r="535">
          <cell r="A535">
            <v>4</v>
          </cell>
          <cell r="C535" t="str">
            <v>м/ч</v>
          </cell>
          <cell r="F535">
            <v>0</v>
          </cell>
          <cell r="H535">
            <v>0</v>
          </cell>
          <cell r="I535" t="e">
            <v>#DIV/0!</v>
          </cell>
          <cell r="J535">
            <v>0</v>
          </cell>
          <cell r="M535" t="str">
            <v>Анапский</v>
          </cell>
        </row>
        <row r="536">
          <cell r="A536">
            <v>5</v>
          </cell>
          <cell r="C536" t="str">
            <v>м/ч</v>
          </cell>
          <cell r="F536">
            <v>0</v>
          </cell>
          <cell r="H536">
            <v>0</v>
          </cell>
          <cell r="I536" t="e">
            <v>#DIV/0!</v>
          </cell>
          <cell r="J536">
            <v>0</v>
          </cell>
          <cell r="M536" t="str">
            <v>Анапский</v>
          </cell>
        </row>
        <row r="537">
          <cell r="A537">
            <v>6</v>
          </cell>
          <cell r="C537" t="str">
            <v>м/ч</v>
          </cell>
          <cell r="F537">
            <v>0</v>
          </cell>
          <cell r="H537">
            <v>0</v>
          </cell>
          <cell r="I537" t="e">
            <v>#DIV/0!</v>
          </cell>
          <cell r="J537">
            <v>0</v>
          </cell>
          <cell r="M537" t="str">
            <v>Анапский</v>
          </cell>
        </row>
        <row r="538">
          <cell r="A538">
            <v>7</v>
          </cell>
          <cell r="C538" t="str">
            <v>м/ч</v>
          </cell>
          <cell r="F538">
            <v>0</v>
          </cell>
          <cell r="H538">
            <v>0</v>
          </cell>
          <cell r="I538" t="e">
            <v>#DIV/0!</v>
          </cell>
          <cell r="J538">
            <v>0</v>
          </cell>
          <cell r="M538" t="str">
            <v>Анапский</v>
          </cell>
        </row>
        <row r="539">
          <cell r="A539">
            <v>8</v>
          </cell>
          <cell r="C539" t="str">
            <v>м/ч</v>
          </cell>
          <cell r="F539">
            <v>0</v>
          </cell>
          <cell r="H539">
            <v>0</v>
          </cell>
          <cell r="I539" t="e">
            <v>#DIV/0!</v>
          </cell>
          <cell r="J539">
            <v>0</v>
          </cell>
          <cell r="M539" t="str">
            <v>Анапский</v>
          </cell>
        </row>
        <row r="540">
          <cell r="A540">
            <v>9</v>
          </cell>
          <cell r="C540" t="str">
            <v>м/ч</v>
          </cell>
          <cell r="F540">
            <v>0</v>
          </cell>
          <cell r="H540">
            <v>0</v>
          </cell>
          <cell r="I540" t="e">
            <v>#DIV/0!</v>
          </cell>
          <cell r="J540">
            <v>0</v>
          </cell>
          <cell r="M540" t="str">
            <v>Анапский</v>
          </cell>
        </row>
        <row r="541">
          <cell r="A541">
            <v>10</v>
          </cell>
          <cell r="C541" t="str">
            <v>м/ч</v>
          </cell>
          <cell r="F541">
            <v>0</v>
          </cell>
          <cell r="H541">
            <v>0</v>
          </cell>
          <cell r="I541" t="e">
            <v>#DIV/0!</v>
          </cell>
          <cell r="J541">
            <v>0</v>
          </cell>
          <cell r="M541" t="str">
            <v>Анапский</v>
          </cell>
        </row>
        <row r="542">
          <cell r="M542" t="str">
            <v>Анапский</v>
          </cell>
        </row>
        <row r="543">
          <cell r="A543" t="str">
            <v>10-1.3.</v>
          </cell>
          <cell r="B543" t="str">
            <v>Материалы</v>
          </cell>
          <cell r="F543">
            <v>1246.44</v>
          </cell>
          <cell r="H543">
            <v>24440</v>
          </cell>
          <cell r="I543">
            <v>19.6078431372549</v>
          </cell>
          <cell r="J543">
            <v>23193.56</v>
          </cell>
          <cell r="K543">
            <v>10</v>
          </cell>
          <cell r="L543" t="str">
            <v>1.3.</v>
          </cell>
          <cell r="M543" t="str">
            <v>Анапский</v>
          </cell>
        </row>
        <row r="544">
          <cell r="B544" t="str">
            <v>Материальные ресурсы по нормам СНиП</v>
          </cell>
          <cell r="F544">
            <v>0</v>
          </cell>
          <cell r="H544">
            <v>0</v>
          </cell>
          <cell r="I544" t="e">
            <v>#DIV/0!</v>
          </cell>
          <cell r="J544">
            <v>0</v>
          </cell>
          <cell r="M544" t="str">
            <v>Анапский</v>
          </cell>
        </row>
        <row r="545">
          <cell r="A545">
            <v>1</v>
          </cell>
          <cell r="C545" t="str">
            <v>м3</v>
          </cell>
          <cell r="F545">
            <v>0</v>
          </cell>
          <cell r="H545">
            <v>0</v>
          </cell>
          <cell r="I545" t="e">
            <v>#DIV/0!</v>
          </cell>
          <cell r="J545">
            <v>0</v>
          </cell>
          <cell r="M545" t="str">
            <v>Анапский</v>
          </cell>
        </row>
        <row r="546">
          <cell r="A546">
            <v>2</v>
          </cell>
          <cell r="F546">
            <v>0</v>
          </cell>
          <cell r="H546">
            <v>0</v>
          </cell>
          <cell r="I546" t="e">
            <v>#DIV/0!</v>
          </cell>
          <cell r="J546">
            <v>0</v>
          </cell>
          <cell r="M546" t="str">
            <v>Анапский</v>
          </cell>
        </row>
        <row r="547">
          <cell r="A547">
            <v>3</v>
          </cell>
          <cell r="F547">
            <v>0</v>
          </cell>
          <cell r="H547">
            <v>0</v>
          </cell>
          <cell r="I547" t="e">
            <v>#DIV/0!</v>
          </cell>
          <cell r="J547">
            <v>0</v>
          </cell>
          <cell r="M547" t="str">
            <v>Анапский</v>
          </cell>
        </row>
        <row r="548">
          <cell r="A548">
            <v>4</v>
          </cell>
          <cell r="F548">
            <v>0</v>
          </cell>
          <cell r="H548">
            <v>0</v>
          </cell>
          <cell r="I548" t="e">
            <v>#DIV/0!</v>
          </cell>
          <cell r="J548">
            <v>0</v>
          </cell>
          <cell r="M548" t="str">
            <v>Анапский</v>
          </cell>
        </row>
        <row r="549">
          <cell r="A549">
            <v>5</v>
          </cell>
          <cell r="F549">
            <v>0</v>
          </cell>
          <cell r="H549">
            <v>0</v>
          </cell>
          <cell r="I549" t="e">
            <v>#DIV/0!</v>
          </cell>
          <cell r="J549">
            <v>0</v>
          </cell>
          <cell r="M549" t="str">
            <v>Анапский</v>
          </cell>
        </row>
        <row r="550">
          <cell r="A550">
            <v>6</v>
          </cell>
          <cell r="F550">
            <v>0</v>
          </cell>
          <cell r="H550">
            <v>0</v>
          </cell>
          <cell r="I550" t="e">
            <v>#DIV/0!</v>
          </cell>
          <cell r="J550">
            <v>0</v>
          </cell>
          <cell r="M550" t="str">
            <v>Анапский</v>
          </cell>
        </row>
        <row r="551">
          <cell r="A551">
            <v>7</v>
          </cell>
          <cell r="F551">
            <v>0</v>
          </cell>
          <cell r="H551">
            <v>0</v>
          </cell>
          <cell r="I551" t="e">
            <v>#DIV/0!</v>
          </cell>
          <cell r="J551">
            <v>0</v>
          </cell>
          <cell r="M551" t="str">
            <v>Анапский</v>
          </cell>
        </row>
        <row r="552">
          <cell r="A552">
            <v>8</v>
          </cell>
          <cell r="F552">
            <v>0</v>
          </cell>
          <cell r="H552">
            <v>0</v>
          </cell>
          <cell r="I552" t="e">
            <v>#DIV/0!</v>
          </cell>
          <cell r="J552">
            <v>0</v>
          </cell>
          <cell r="M552" t="str">
            <v>Анапский</v>
          </cell>
        </row>
        <row r="553">
          <cell r="A553">
            <v>9</v>
          </cell>
          <cell r="F553">
            <v>0</v>
          </cell>
          <cell r="H553">
            <v>0</v>
          </cell>
          <cell r="I553" t="e">
            <v>#DIV/0!</v>
          </cell>
          <cell r="J553">
            <v>0</v>
          </cell>
          <cell r="M553" t="str">
            <v>Анапский</v>
          </cell>
        </row>
        <row r="554">
          <cell r="A554">
            <v>10</v>
          </cell>
          <cell r="F554">
            <v>0</v>
          </cell>
          <cell r="H554">
            <v>0</v>
          </cell>
          <cell r="I554" t="e">
            <v>#DIV/0!</v>
          </cell>
          <cell r="J554">
            <v>0</v>
          </cell>
          <cell r="M554" t="str">
            <v>Анапский</v>
          </cell>
        </row>
        <row r="555">
          <cell r="M555" t="str">
            <v>Анапский</v>
          </cell>
        </row>
        <row r="556">
          <cell r="B556" t="str">
            <v>Транспортировка материалов, т (вид транспорта, км)</v>
          </cell>
          <cell r="F556">
            <v>1222</v>
          </cell>
          <cell r="H556">
            <v>24440</v>
          </cell>
          <cell r="I556">
            <v>20</v>
          </cell>
          <cell r="J556">
            <v>23218</v>
          </cell>
          <cell r="M556" t="str">
            <v>Анапский</v>
          </cell>
        </row>
        <row r="557">
          <cell r="A557">
            <v>1</v>
          </cell>
          <cell r="C557" t="str">
            <v>т</v>
          </cell>
          <cell r="D557">
            <v>1222</v>
          </cell>
          <cell r="E557">
            <v>1</v>
          </cell>
          <cell r="F557">
            <v>1222</v>
          </cell>
          <cell r="G557">
            <v>20</v>
          </cell>
          <cell r="H557">
            <v>24440</v>
          </cell>
          <cell r="I557">
            <v>20</v>
          </cell>
          <cell r="J557">
            <v>23218</v>
          </cell>
          <cell r="M557" t="str">
            <v>Анапский</v>
          </cell>
        </row>
        <row r="558">
          <cell r="A558">
            <v>2</v>
          </cell>
          <cell r="C558" t="str">
            <v>т</v>
          </cell>
          <cell r="F558">
            <v>0</v>
          </cell>
          <cell r="H558">
            <v>0</v>
          </cell>
          <cell r="I558" t="e">
            <v>#DIV/0!</v>
          </cell>
          <cell r="J558">
            <v>0</v>
          </cell>
          <cell r="M558" t="str">
            <v>Анапский</v>
          </cell>
        </row>
        <row r="559">
          <cell r="A559">
            <v>3</v>
          </cell>
          <cell r="C559" t="str">
            <v>т</v>
          </cell>
          <cell r="F559">
            <v>0</v>
          </cell>
          <cell r="H559">
            <v>0</v>
          </cell>
          <cell r="I559" t="e">
            <v>#DIV/0!</v>
          </cell>
          <cell r="J559">
            <v>0</v>
          </cell>
          <cell r="M559" t="str">
            <v>Анапский</v>
          </cell>
        </row>
        <row r="560">
          <cell r="A560">
            <v>4</v>
          </cell>
          <cell r="C560" t="str">
            <v>т</v>
          </cell>
          <cell r="F560">
            <v>0</v>
          </cell>
          <cell r="H560">
            <v>0</v>
          </cell>
          <cell r="I560" t="e">
            <v>#DIV/0!</v>
          </cell>
          <cell r="J560">
            <v>0</v>
          </cell>
          <cell r="M560" t="str">
            <v>Анапский</v>
          </cell>
        </row>
        <row r="561">
          <cell r="A561">
            <v>5</v>
          </cell>
          <cell r="C561" t="str">
            <v>т</v>
          </cell>
          <cell r="F561">
            <v>0</v>
          </cell>
          <cell r="H561">
            <v>0</v>
          </cell>
          <cell r="I561" t="e">
            <v>#DIV/0!</v>
          </cell>
          <cell r="J561">
            <v>0</v>
          </cell>
          <cell r="M561" t="str">
            <v>Анапский</v>
          </cell>
        </row>
        <row r="562">
          <cell r="A562">
            <v>6</v>
          </cell>
          <cell r="C562" t="str">
            <v>т</v>
          </cell>
          <cell r="F562">
            <v>0</v>
          </cell>
          <cell r="H562">
            <v>0</v>
          </cell>
          <cell r="I562" t="e">
            <v>#DIV/0!</v>
          </cell>
          <cell r="J562">
            <v>0</v>
          </cell>
          <cell r="M562" t="str">
            <v>Анапский</v>
          </cell>
        </row>
        <row r="563">
          <cell r="A563">
            <v>7</v>
          </cell>
          <cell r="C563" t="str">
            <v>т</v>
          </cell>
          <cell r="F563">
            <v>0</v>
          </cell>
          <cell r="H563">
            <v>0</v>
          </cell>
          <cell r="I563" t="e">
            <v>#DIV/0!</v>
          </cell>
          <cell r="J563">
            <v>0</v>
          </cell>
          <cell r="M563" t="str">
            <v>Анапский</v>
          </cell>
        </row>
        <row r="564">
          <cell r="A564">
            <v>8</v>
          </cell>
          <cell r="C564" t="str">
            <v>т</v>
          </cell>
          <cell r="F564">
            <v>0</v>
          </cell>
          <cell r="H564">
            <v>0</v>
          </cell>
          <cell r="I564" t="e">
            <v>#DIV/0!</v>
          </cell>
          <cell r="J564">
            <v>0</v>
          </cell>
          <cell r="M564" t="str">
            <v>Анапский</v>
          </cell>
        </row>
        <row r="565">
          <cell r="A565">
            <v>9</v>
          </cell>
          <cell r="C565" t="str">
            <v>т</v>
          </cell>
          <cell r="F565">
            <v>0</v>
          </cell>
          <cell r="H565">
            <v>0</v>
          </cell>
          <cell r="I565" t="e">
            <v>#DIV/0!</v>
          </cell>
          <cell r="J565">
            <v>0</v>
          </cell>
          <cell r="M565" t="str">
            <v>Анапский</v>
          </cell>
        </row>
        <row r="566">
          <cell r="A566">
            <v>10</v>
          </cell>
          <cell r="C566" t="str">
            <v>т</v>
          </cell>
          <cell r="F566">
            <v>0</v>
          </cell>
          <cell r="H566">
            <v>0</v>
          </cell>
          <cell r="I566" t="e">
            <v>#DIV/0!</v>
          </cell>
          <cell r="J566">
            <v>0</v>
          </cell>
          <cell r="M566" t="str">
            <v>Анапский</v>
          </cell>
        </row>
        <row r="567">
          <cell r="M567" t="str">
            <v>Анапский</v>
          </cell>
        </row>
        <row r="568">
          <cell r="B568" t="str">
            <v>Заготовительно-складские расходы</v>
          </cell>
          <cell r="F568">
            <v>24.44</v>
          </cell>
          <cell r="H568">
            <v>0</v>
          </cell>
          <cell r="I568">
            <v>0</v>
          </cell>
          <cell r="J568">
            <v>-24.44</v>
          </cell>
          <cell r="M568" t="str">
            <v>Анапский</v>
          </cell>
        </row>
        <row r="569">
          <cell r="A569">
            <v>1</v>
          </cell>
          <cell r="B569">
            <v>0</v>
          </cell>
          <cell r="C569" t="str">
            <v>руб</v>
          </cell>
          <cell r="D569">
            <v>0.02</v>
          </cell>
          <cell r="E569">
            <v>1222</v>
          </cell>
          <cell r="F569">
            <v>24.44</v>
          </cell>
          <cell r="H569">
            <v>0</v>
          </cell>
          <cell r="I569">
            <v>0</v>
          </cell>
          <cell r="J569">
            <v>-24.44</v>
          </cell>
          <cell r="M569" t="str">
            <v>Анапский</v>
          </cell>
        </row>
        <row r="570">
          <cell r="A570">
            <v>2</v>
          </cell>
          <cell r="B570">
            <v>0</v>
          </cell>
          <cell r="C570" t="str">
            <v>руб</v>
          </cell>
          <cell r="E570">
            <v>0</v>
          </cell>
          <cell r="F570">
            <v>0</v>
          </cell>
          <cell r="H570">
            <v>0</v>
          </cell>
          <cell r="I570" t="e">
            <v>#DIV/0!</v>
          </cell>
          <cell r="J570">
            <v>0</v>
          </cell>
          <cell r="M570" t="str">
            <v>Анапский</v>
          </cell>
        </row>
        <row r="571">
          <cell r="A571">
            <v>3</v>
          </cell>
          <cell r="B571">
            <v>0</v>
          </cell>
          <cell r="C571" t="str">
            <v>руб</v>
          </cell>
          <cell r="E571">
            <v>0</v>
          </cell>
          <cell r="F571">
            <v>0</v>
          </cell>
          <cell r="H571">
            <v>0</v>
          </cell>
          <cell r="I571" t="e">
            <v>#DIV/0!</v>
          </cell>
          <cell r="J571">
            <v>0</v>
          </cell>
          <cell r="M571" t="str">
            <v>Анапский</v>
          </cell>
        </row>
        <row r="572">
          <cell r="A572">
            <v>4</v>
          </cell>
          <cell r="B572">
            <v>0</v>
          </cell>
          <cell r="C572" t="str">
            <v>руб</v>
          </cell>
          <cell r="E572">
            <v>0</v>
          </cell>
          <cell r="F572">
            <v>0</v>
          </cell>
          <cell r="H572">
            <v>0</v>
          </cell>
          <cell r="I572" t="e">
            <v>#DIV/0!</v>
          </cell>
          <cell r="J572">
            <v>0</v>
          </cell>
          <cell r="M572" t="str">
            <v>Анапский</v>
          </cell>
        </row>
        <row r="573">
          <cell r="A573">
            <v>5</v>
          </cell>
          <cell r="B573">
            <v>0</v>
          </cell>
          <cell r="C573" t="str">
            <v>руб</v>
          </cell>
          <cell r="E573">
            <v>0</v>
          </cell>
          <cell r="F573">
            <v>0</v>
          </cell>
          <cell r="H573">
            <v>0</v>
          </cell>
          <cell r="I573" t="e">
            <v>#DIV/0!</v>
          </cell>
          <cell r="J573">
            <v>0</v>
          </cell>
          <cell r="M573" t="str">
            <v>Анапский</v>
          </cell>
        </row>
        <row r="574">
          <cell r="A574">
            <v>6</v>
          </cell>
          <cell r="B574">
            <v>0</v>
          </cell>
          <cell r="C574" t="str">
            <v>руб</v>
          </cell>
          <cell r="E574">
            <v>0</v>
          </cell>
          <cell r="F574">
            <v>0</v>
          </cell>
          <cell r="H574">
            <v>0</v>
          </cell>
          <cell r="I574" t="e">
            <v>#DIV/0!</v>
          </cell>
          <cell r="J574">
            <v>0</v>
          </cell>
          <cell r="M574" t="str">
            <v>Анапский</v>
          </cell>
        </row>
        <row r="575">
          <cell r="A575">
            <v>7</v>
          </cell>
          <cell r="B575">
            <v>0</v>
          </cell>
          <cell r="C575" t="str">
            <v>руб</v>
          </cell>
          <cell r="E575">
            <v>0</v>
          </cell>
          <cell r="F575">
            <v>0</v>
          </cell>
          <cell r="H575">
            <v>0</v>
          </cell>
          <cell r="I575" t="e">
            <v>#DIV/0!</v>
          </cell>
          <cell r="J575">
            <v>0</v>
          </cell>
          <cell r="M575" t="str">
            <v>Анапский</v>
          </cell>
        </row>
        <row r="576">
          <cell r="A576">
            <v>8</v>
          </cell>
          <cell r="B576">
            <v>0</v>
          </cell>
          <cell r="C576" t="str">
            <v>руб</v>
          </cell>
          <cell r="E576">
            <v>0</v>
          </cell>
          <cell r="F576">
            <v>0</v>
          </cell>
          <cell r="H576">
            <v>0</v>
          </cell>
          <cell r="I576" t="e">
            <v>#DIV/0!</v>
          </cell>
          <cell r="J576">
            <v>0</v>
          </cell>
          <cell r="M576" t="str">
            <v>Анапский</v>
          </cell>
        </row>
        <row r="577">
          <cell r="A577">
            <v>9</v>
          </cell>
          <cell r="B577">
            <v>0</v>
          </cell>
          <cell r="C577" t="str">
            <v>руб</v>
          </cell>
          <cell r="E577">
            <v>0</v>
          </cell>
          <cell r="F577">
            <v>0</v>
          </cell>
          <cell r="H577">
            <v>0</v>
          </cell>
          <cell r="I577" t="e">
            <v>#DIV/0!</v>
          </cell>
          <cell r="J577">
            <v>0</v>
          </cell>
          <cell r="M577" t="str">
            <v>Анапский</v>
          </cell>
        </row>
        <row r="578">
          <cell r="A578">
            <v>10</v>
          </cell>
          <cell r="B578">
            <v>0</v>
          </cell>
          <cell r="C578" t="str">
            <v>руб</v>
          </cell>
          <cell r="E578">
            <v>0</v>
          </cell>
          <cell r="F578">
            <v>0</v>
          </cell>
          <cell r="H578">
            <v>0</v>
          </cell>
          <cell r="I578" t="e">
            <v>#DIV/0!</v>
          </cell>
          <cell r="J578">
            <v>0</v>
          </cell>
          <cell r="M578" t="str">
            <v>Анапский</v>
          </cell>
        </row>
        <row r="579">
          <cell r="M579" t="str">
            <v>Анапский</v>
          </cell>
        </row>
        <row r="580">
          <cell r="M580" t="str">
            <v>Анапский</v>
          </cell>
        </row>
        <row r="581">
          <cell r="B581" t="str">
            <v>Составил:______________________________</v>
          </cell>
          <cell r="M581" t="str">
            <v>Анапский</v>
          </cell>
        </row>
        <row r="582">
          <cell r="M582" t="str">
            <v>Анапский</v>
          </cell>
        </row>
        <row r="583">
          <cell r="B583" t="str">
            <v>Начальник ТДО: ________________________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printerSettings" Target="../printerSettings/printerSettings3.bin"/><Relationship Id="rId7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3" filterMode="1">
    <tabColor indexed="42"/>
    <pageSetUpPr fitToPage="1"/>
  </sheetPr>
  <dimension ref="A1:FO74"/>
  <sheetViews>
    <sheetView showGridLines="0" showZeros="0" zoomScale="115" zoomScaleNormal="115" zoomScaleSheetLayoutView="85" workbookViewId="0">
      <pane xSplit="9" ySplit="3" topLeftCell="CI53" activePane="bottomRight" state="frozen"/>
      <selection pane="topRight" activeCell="J1" sqref="J1"/>
      <selection pane="bottomLeft" activeCell="A4" sqref="A4"/>
      <selection pane="bottomRight" activeCell="I53" sqref="I53"/>
    </sheetView>
  </sheetViews>
  <sheetFormatPr defaultColWidth="9.140625" defaultRowHeight="12.75" outlineLevelCol="2" x14ac:dyDescent="0.2"/>
  <cols>
    <col min="1" max="1" width="3.7109375" style="119" customWidth="1"/>
    <col min="2" max="2" width="9.140625" style="119" customWidth="1"/>
    <col min="3" max="4" width="9.140625" style="119" hidden="1" customWidth="1"/>
    <col min="5" max="5" width="9.7109375" style="119" hidden="1" customWidth="1" outlineLevel="1"/>
    <col min="6" max="6" width="4.7109375" style="119" hidden="1" customWidth="1" collapsed="1"/>
    <col min="7" max="7" width="11.7109375" style="119" customWidth="1"/>
    <col min="8" max="8" width="13.42578125" style="154" hidden="1" customWidth="1" outlineLevel="1"/>
    <col min="9" max="9" width="40.7109375" style="126" customWidth="1" collapsed="1"/>
    <col min="10" max="11" width="11" style="121" customWidth="1" outlineLevel="1"/>
    <col min="12" max="12" width="15.140625" style="121" customWidth="1" outlineLevel="1"/>
    <col min="13" max="13" width="10.85546875" style="121" customWidth="1" outlineLevel="1"/>
    <col min="14" max="14" width="9.42578125" style="121" customWidth="1" outlineLevel="1"/>
    <col min="15" max="15" width="11.7109375" style="121" customWidth="1" outlineLevel="1"/>
    <col min="16" max="16" width="12.28515625" style="121" customWidth="1" outlineLevel="1"/>
    <col min="17" max="17" width="9.7109375" style="121" customWidth="1" outlineLevel="1"/>
    <col min="18" max="18" width="10.140625" style="121" customWidth="1" outlineLevel="1"/>
    <col min="19" max="19" width="8.85546875" style="121" customWidth="1" outlineLevel="1"/>
    <col min="20" max="20" width="12.7109375" style="121" customWidth="1" outlineLevel="1"/>
    <col min="21" max="22" width="8.7109375" style="121" hidden="1" customWidth="1" outlineLevel="1"/>
    <col min="23" max="23" width="8.7109375" style="121" customWidth="1" outlineLevel="1"/>
    <col min="24" max="24" width="8.7109375" style="121" hidden="1" customWidth="1" outlineLevel="1"/>
    <col min="25" max="25" width="7.7109375" style="121" hidden="1" customWidth="1" outlineLevel="1"/>
    <col min="26" max="26" width="8.7109375" style="121" customWidth="1" outlineLevel="1"/>
    <col min="27" max="31" width="9.5703125" style="121" hidden="1" customWidth="1" outlineLevel="2"/>
    <col min="32" max="32" width="11.140625" style="122" hidden="1" customWidth="1" outlineLevel="2"/>
    <col min="33" max="35" width="9.42578125" style="122" hidden="1" customWidth="1" outlineLevel="2"/>
    <col min="36" max="36" width="11.28515625" style="122" customWidth="1" outlineLevel="1" collapsed="1"/>
    <col min="37" max="37" width="13" style="122" hidden="1" customWidth="1" outlineLevel="2"/>
    <col min="38" max="40" width="9.42578125" style="122" hidden="1" customWidth="1" outlineLevel="2"/>
    <col min="41" max="41" width="10.140625" style="122" hidden="1" customWidth="1" outlineLevel="1" collapsed="1"/>
    <col min="42" max="45" width="9.42578125" style="122" hidden="1" customWidth="1" outlineLevel="2"/>
    <col min="46" max="46" width="9.7109375" style="121" customWidth="1" outlineLevel="1" collapsed="1"/>
    <col min="47" max="50" width="9.7109375" style="121" hidden="1" customWidth="1" outlineLevel="2"/>
    <col min="51" max="51" width="9.5703125" style="121" customWidth="1" outlineLevel="1" collapsed="1"/>
    <col min="52" max="55" width="9.42578125" style="122" hidden="1" customWidth="1" outlineLevel="2"/>
    <col min="56" max="56" width="9.7109375" style="121" hidden="1" customWidth="1" outlineLevel="1" collapsed="1"/>
    <col min="57" max="60" width="9.7109375" style="121" hidden="1" customWidth="1" outlineLevel="2"/>
    <col min="61" max="61" width="9.7109375" style="121" hidden="1" customWidth="1" outlineLevel="1" collapsed="1"/>
    <col min="62" max="62" width="10.7109375" style="123" customWidth="1" collapsed="1"/>
    <col min="63" max="64" width="8.7109375" style="267" customWidth="1" outlineLevel="1"/>
    <col min="65" max="66" width="8.7109375" style="267" hidden="1" customWidth="1" outlineLevel="2"/>
    <col min="67" max="68" width="9.7109375" style="119" hidden="1" customWidth="1" outlineLevel="2"/>
    <col min="69" max="69" width="9.5703125" style="119" customWidth="1" outlineLevel="1" collapsed="1"/>
    <col min="70" max="70" width="6.7109375" style="119" hidden="1" customWidth="1" outlineLevel="1"/>
    <col min="71" max="71" width="10.7109375" style="119" customWidth="1" collapsed="1"/>
    <col min="72" max="72" width="10.7109375" style="119" hidden="1" customWidth="1"/>
    <col min="73" max="73" width="8.28515625" style="119" customWidth="1" outlineLevel="1"/>
    <col min="74" max="74" width="9.7109375" style="119" hidden="1" customWidth="1" outlineLevel="1"/>
    <col min="75" max="75" width="7.7109375" style="140" hidden="1" customWidth="1" outlineLevel="1"/>
    <col min="76" max="79" width="10.140625" style="119" hidden="1" customWidth="1" outlineLevel="1"/>
    <col min="80" max="80" width="10.28515625" style="119" hidden="1" customWidth="1" outlineLevel="1"/>
    <col min="81" max="81" width="2.140625" style="105" customWidth="1" collapsed="1"/>
    <col min="82" max="92" width="9.140625" style="105" customWidth="1" outlineLevel="1"/>
    <col min="93" max="94" width="9.28515625" style="105" customWidth="1" outlineLevel="1"/>
    <col min="95" max="101" width="9.140625" style="105" customWidth="1" outlineLevel="1"/>
    <col min="102" max="102" width="9.42578125" style="105" customWidth="1" outlineLevel="1"/>
    <col min="103" max="107" width="9.140625" style="105" customWidth="1" outlineLevel="1"/>
    <col min="108" max="108" width="2.42578125" style="180" customWidth="1"/>
    <col min="109" max="109" width="17" style="105" hidden="1" customWidth="1" outlineLevel="1"/>
    <col min="110" max="110" width="12.7109375" style="123" hidden="1" customWidth="1" outlineLevel="1"/>
    <col min="111" max="111" width="10.5703125" style="123" hidden="1" customWidth="1" outlineLevel="1"/>
    <col min="112" max="112" width="10.28515625" style="123" hidden="1" customWidth="1" outlineLevel="1"/>
    <col min="113" max="113" width="8" style="105" hidden="1" customWidth="1" outlineLevel="1"/>
    <col min="114" max="114" width="12" style="105" hidden="1" customWidth="1"/>
    <col min="115" max="115" width="9.140625" style="105"/>
    <col min="116" max="116" width="10.42578125" style="105" hidden="1" customWidth="1" outlineLevel="2"/>
    <col min="117" max="117" width="11.42578125" style="105" hidden="1" customWidth="1" outlineLevel="2"/>
    <col min="118" max="119" width="10.42578125" style="105" hidden="1" customWidth="1" outlineLevel="2"/>
    <col min="120" max="120" width="9.42578125" style="105" hidden="1" customWidth="1" outlineLevel="2"/>
    <col min="121" max="121" width="9.140625" style="105" hidden="1" customWidth="1" outlineLevel="2"/>
    <col min="122" max="124" width="10.42578125" style="105" hidden="1" customWidth="1" outlineLevel="2"/>
    <col min="125" max="127" width="9.140625" style="105" hidden="1" customWidth="1" outlineLevel="2"/>
    <col min="128" max="128" width="9.140625" style="105" collapsed="1"/>
    <col min="129" max="170" width="9.140625" style="105" hidden="1" customWidth="1" outlineLevel="2"/>
    <col min="171" max="171" width="9.140625" style="105" collapsed="1"/>
    <col min="172" max="16384" width="9.140625" style="105"/>
  </cols>
  <sheetData>
    <row r="1" spans="1:170" s="63" customFormat="1" ht="12.75" customHeight="1" x14ac:dyDescent="0.2">
      <c r="A1" s="52"/>
      <c r="B1" s="53"/>
      <c r="C1" s="54"/>
      <c r="D1" s="54"/>
      <c r="E1" s="54"/>
      <c r="F1" s="54"/>
      <c r="G1" s="55"/>
      <c r="H1" s="151"/>
      <c r="I1" s="55"/>
      <c r="J1" s="421" t="s">
        <v>354</v>
      </c>
      <c r="K1" s="422"/>
      <c r="L1" s="422"/>
      <c r="M1" s="422"/>
      <c r="N1" s="423"/>
      <c r="O1" s="55"/>
      <c r="P1" s="55"/>
      <c r="Q1" s="55"/>
      <c r="R1" s="55"/>
      <c r="S1" s="55"/>
      <c r="T1" s="55"/>
      <c r="U1" s="56"/>
      <c r="V1" s="56"/>
      <c r="W1" s="57"/>
      <c r="X1" s="57"/>
      <c r="Y1" s="57"/>
      <c r="Z1" s="57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5"/>
      <c r="AU1" s="55"/>
      <c r="AV1" s="55"/>
      <c r="AW1" s="55"/>
      <c r="AX1" s="55"/>
      <c r="AY1" s="58">
        <v>0.18</v>
      </c>
      <c r="AZ1" s="58"/>
      <c r="BA1" s="58"/>
      <c r="BB1" s="58"/>
      <c r="BC1" s="58"/>
      <c r="BD1" s="59"/>
      <c r="BE1" s="55"/>
      <c r="BF1" s="55"/>
      <c r="BG1" s="55"/>
      <c r="BH1" s="55"/>
      <c r="BI1" s="59"/>
      <c r="BJ1" s="60"/>
      <c r="BK1" s="55"/>
      <c r="BL1" s="55"/>
      <c r="BM1" s="268"/>
      <c r="BN1" s="268"/>
      <c r="BO1" s="55"/>
      <c r="BP1" s="55"/>
      <c r="BQ1" s="55"/>
      <c r="BR1" s="55"/>
      <c r="BS1" s="61"/>
      <c r="BT1" s="61"/>
      <c r="BU1" s="55"/>
      <c r="BV1" s="55"/>
      <c r="BW1" s="136"/>
      <c r="BX1" s="62"/>
      <c r="BY1" s="62"/>
      <c r="BZ1" s="62"/>
      <c r="CA1" s="62"/>
      <c r="CB1" s="62"/>
      <c r="DD1" s="180"/>
      <c r="DF1" s="55"/>
      <c r="DG1" s="55"/>
      <c r="DH1" s="55"/>
      <c r="DY1" s="432" t="s">
        <v>95</v>
      </c>
      <c r="DZ1" s="432"/>
      <c r="EA1" s="432"/>
      <c r="EB1" s="432"/>
      <c r="EC1" s="432"/>
      <c r="ED1" s="432"/>
      <c r="EE1" s="433"/>
      <c r="EF1" s="424" t="s">
        <v>95</v>
      </c>
      <c r="EG1" s="425"/>
      <c r="EH1" s="425"/>
      <c r="EI1" s="425"/>
      <c r="EJ1" s="425"/>
      <c r="EK1" s="425"/>
      <c r="EL1" s="425"/>
      <c r="EM1" s="425"/>
      <c r="EN1" s="425"/>
      <c r="EO1" s="425"/>
      <c r="EP1" s="425"/>
      <c r="EQ1" s="425"/>
      <c r="ER1" s="425"/>
      <c r="ES1" s="429"/>
      <c r="ET1" s="424" t="s">
        <v>95</v>
      </c>
      <c r="EU1" s="425"/>
      <c r="EV1" s="425"/>
      <c r="EW1" s="425"/>
      <c r="EX1" s="429"/>
      <c r="EY1" s="42"/>
      <c r="EZ1" s="424" t="s">
        <v>95</v>
      </c>
      <c r="FA1" s="425"/>
      <c r="FB1" s="425"/>
      <c r="FC1" s="425"/>
      <c r="FD1" s="429"/>
      <c r="FE1" s="424" t="s">
        <v>95</v>
      </c>
      <c r="FF1" s="425"/>
      <c r="FG1" s="432" t="s">
        <v>95</v>
      </c>
      <c r="FH1" s="432"/>
      <c r="FI1" s="432"/>
      <c r="FJ1" s="432"/>
      <c r="FK1" s="432"/>
      <c r="FL1" s="432"/>
      <c r="FM1" s="432"/>
      <c r="FN1" s="433"/>
    </row>
    <row r="2" spans="1:170" s="19" customFormat="1" ht="63" x14ac:dyDescent="0.2">
      <c r="A2" s="23" t="s">
        <v>111</v>
      </c>
      <c r="B2" s="23" t="s">
        <v>37</v>
      </c>
      <c r="C2" s="145"/>
      <c r="D2" s="145"/>
      <c r="E2" s="145" t="s">
        <v>201</v>
      </c>
      <c r="F2" s="23" t="s">
        <v>17</v>
      </c>
      <c r="G2" s="23" t="s">
        <v>76</v>
      </c>
      <c r="H2" s="145" t="s">
        <v>140</v>
      </c>
      <c r="I2" s="23" t="s">
        <v>152</v>
      </c>
      <c r="J2" s="23" t="s">
        <v>136</v>
      </c>
      <c r="K2" s="23" t="s">
        <v>160</v>
      </c>
      <c r="L2" s="23" t="s">
        <v>82</v>
      </c>
      <c r="M2" s="23" t="s">
        <v>15</v>
      </c>
      <c r="N2" s="23" t="s">
        <v>81</v>
      </c>
      <c r="O2" s="23" t="s">
        <v>135</v>
      </c>
      <c r="P2" s="23" t="s">
        <v>106</v>
      </c>
      <c r="Q2" s="23" t="s">
        <v>107</v>
      </c>
      <c r="R2" s="23" t="s">
        <v>110</v>
      </c>
      <c r="S2" s="23" t="s">
        <v>141</v>
      </c>
      <c r="T2" s="23" t="s">
        <v>75</v>
      </c>
      <c r="U2" s="23" t="s">
        <v>91</v>
      </c>
      <c r="V2" s="23" t="s">
        <v>66</v>
      </c>
      <c r="W2" s="23" t="s">
        <v>16</v>
      </c>
      <c r="X2" s="23" t="s">
        <v>120</v>
      </c>
      <c r="Y2" s="23" t="s">
        <v>122</v>
      </c>
      <c r="Z2" s="43" t="s">
        <v>108</v>
      </c>
      <c r="AA2" s="23" t="s">
        <v>157</v>
      </c>
      <c r="AB2" s="23" t="s">
        <v>46</v>
      </c>
      <c r="AC2" s="23" t="s">
        <v>93</v>
      </c>
      <c r="AD2" s="23" t="s">
        <v>121</v>
      </c>
      <c r="AE2" s="145" t="s">
        <v>163</v>
      </c>
      <c r="AF2" s="23" t="s">
        <v>71</v>
      </c>
      <c r="AG2" s="23" t="s">
        <v>72</v>
      </c>
      <c r="AH2" s="23" t="s">
        <v>73</v>
      </c>
      <c r="AI2" s="23" t="s">
        <v>74</v>
      </c>
      <c r="AJ2" s="23" t="s">
        <v>142</v>
      </c>
      <c r="AK2" s="23" t="s">
        <v>340</v>
      </c>
      <c r="AL2" s="23" t="s">
        <v>341</v>
      </c>
      <c r="AM2" s="23" t="s">
        <v>342</v>
      </c>
      <c r="AN2" s="23" t="s">
        <v>343</v>
      </c>
      <c r="AO2" s="23" t="s">
        <v>344</v>
      </c>
      <c r="AP2" s="23" t="s">
        <v>84</v>
      </c>
      <c r="AQ2" s="23" t="s">
        <v>83</v>
      </c>
      <c r="AR2" s="23" t="s">
        <v>116</v>
      </c>
      <c r="AS2" s="23" t="s">
        <v>117</v>
      </c>
      <c r="AT2" s="23" t="s">
        <v>193</v>
      </c>
      <c r="AU2" s="23" t="s">
        <v>102</v>
      </c>
      <c r="AV2" s="23" t="s">
        <v>6</v>
      </c>
      <c r="AW2" s="23" t="s">
        <v>64</v>
      </c>
      <c r="AX2" s="23" t="s">
        <v>65</v>
      </c>
      <c r="AY2" s="23" t="s">
        <v>194</v>
      </c>
      <c r="AZ2" s="23" t="s">
        <v>84</v>
      </c>
      <c r="BA2" s="23" t="s">
        <v>83</v>
      </c>
      <c r="BB2" s="23" t="s">
        <v>116</v>
      </c>
      <c r="BC2" s="23" t="s">
        <v>117</v>
      </c>
      <c r="BD2" s="23" t="s">
        <v>345</v>
      </c>
      <c r="BE2" s="23" t="s">
        <v>102</v>
      </c>
      <c r="BF2" s="23" t="s">
        <v>6</v>
      </c>
      <c r="BG2" s="23" t="s">
        <v>64</v>
      </c>
      <c r="BH2" s="23" t="s">
        <v>65</v>
      </c>
      <c r="BI2" s="23" t="s">
        <v>346</v>
      </c>
      <c r="BJ2" s="23" t="s">
        <v>232</v>
      </c>
      <c r="BK2" s="23" t="s">
        <v>333</v>
      </c>
      <c r="BL2" s="23" t="s">
        <v>195</v>
      </c>
      <c r="BM2" s="269" t="s">
        <v>334</v>
      </c>
      <c r="BN2" s="269" t="s">
        <v>335</v>
      </c>
      <c r="BO2" s="23" t="s">
        <v>196</v>
      </c>
      <c r="BP2" s="23" t="s">
        <v>336</v>
      </c>
      <c r="BQ2" s="23" t="s">
        <v>197</v>
      </c>
      <c r="BR2" s="23" t="s">
        <v>348</v>
      </c>
      <c r="BS2" s="23" t="s">
        <v>198</v>
      </c>
      <c r="BT2" s="23" t="s">
        <v>347</v>
      </c>
      <c r="BU2" s="23" t="s">
        <v>162</v>
      </c>
      <c r="BV2" s="23" t="s">
        <v>352</v>
      </c>
      <c r="BW2" s="23" t="s">
        <v>145</v>
      </c>
      <c r="BX2" s="23" t="s">
        <v>38</v>
      </c>
      <c r="BY2" s="23" t="s">
        <v>3</v>
      </c>
      <c r="BZ2" s="23" t="s">
        <v>39</v>
      </c>
      <c r="CA2" s="23" t="s">
        <v>67</v>
      </c>
      <c r="CB2" s="23" t="s">
        <v>19</v>
      </c>
      <c r="CD2" s="26" t="s">
        <v>147</v>
      </c>
      <c r="CE2" s="26" t="s">
        <v>0</v>
      </c>
      <c r="CF2" s="26" t="s">
        <v>148</v>
      </c>
      <c r="CG2" s="26" t="s">
        <v>149</v>
      </c>
      <c r="CH2" s="26" t="s">
        <v>45</v>
      </c>
      <c r="CI2" s="26" t="s">
        <v>118</v>
      </c>
      <c r="CJ2" s="26" t="s">
        <v>150</v>
      </c>
      <c r="CK2" s="26" t="s">
        <v>175</v>
      </c>
      <c r="CL2" s="26" t="s">
        <v>176</v>
      </c>
      <c r="CM2" s="26" t="s">
        <v>57</v>
      </c>
      <c r="CN2" s="26" t="s">
        <v>10</v>
      </c>
      <c r="CO2" s="26" t="s">
        <v>21</v>
      </c>
      <c r="CP2" s="26" t="s">
        <v>146</v>
      </c>
      <c r="CQ2" s="26" t="s">
        <v>169</v>
      </c>
      <c r="CR2" s="26" t="s">
        <v>170</v>
      </c>
      <c r="CS2" s="26" t="s">
        <v>24</v>
      </c>
      <c r="CT2" s="26" t="s">
        <v>164</v>
      </c>
      <c r="CU2" s="26" t="s">
        <v>86</v>
      </c>
      <c r="CV2" s="26" t="s">
        <v>124</v>
      </c>
      <c r="CW2" s="26" t="s">
        <v>153</v>
      </c>
      <c r="CX2" s="26" t="s">
        <v>69</v>
      </c>
      <c r="CY2" s="26" t="s">
        <v>52</v>
      </c>
      <c r="CZ2" s="26" t="s">
        <v>105</v>
      </c>
      <c r="DA2" s="26" t="s">
        <v>9</v>
      </c>
      <c r="DB2" s="26" t="s">
        <v>294</v>
      </c>
      <c r="DC2" s="26" t="s">
        <v>295</v>
      </c>
      <c r="DD2" s="35"/>
      <c r="DE2" s="26" t="s">
        <v>123</v>
      </c>
      <c r="DF2" s="23" t="s">
        <v>1</v>
      </c>
      <c r="DG2" s="23" t="s">
        <v>2</v>
      </c>
      <c r="DH2" s="23" t="s">
        <v>90</v>
      </c>
      <c r="DI2" s="23" t="s">
        <v>112</v>
      </c>
      <c r="DJ2" s="145" t="s">
        <v>353</v>
      </c>
      <c r="DL2" s="23" t="s">
        <v>25</v>
      </c>
      <c r="DM2" s="23" t="s">
        <v>103</v>
      </c>
      <c r="DN2" s="23" t="s">
        <v>99</v>
      </c>
      <c r="DO2" s="23" t="s">
        <v>115</v>
      </c>
      <c r="DP2" s="23" t="s">
        <v>35</v>
      </c>
      <c r="DQ2" s="23" t="s">
        <v>13</v>
      </c>
      <c r="DR2" s="23" t="s">
        <v>12</v>
      </c>
      <c r="DS2" s="23" t="s">
        <v>151</v>
      </c>
      <c r="DT2" s="23" t="s">
        <v>11</v>
      </c>
      <c r="DU2" s="23" t="s">
        <v>171</v>
      </c>
      <c r="DV2" s="23" t="s">
        <v>100</v>
      </c>
      <c r="DW2" s="159" t="s">
        <v>133</v>
      </c>
      <c r="DY2" s="160" t="s">
        <v>79</v>
      </c>
      <c r="DZ2" s="27" t="s">
        <v>114</v>
      </c>
      <c r="EA2" s="27" t="s">
        <v>22</v>
      </c>
      <c r="EB2" s="27" t="s">
        <v>78</v>
      </c>
      <c r="EC2" s="27" t="s">
        <v>104</v>
      </c>
      <c r="ED2" s="27" t="s">
        <v>4</v>
      </c>
      <c r="EE2" s="27" t="s">
        <v>94</v>
      </c>
      <c r="EF2" s="145" t="s">
        <v>79</v>
      </c>
      <c r="EG2" s="145" t="s">
        <v>114</v>
      </c>
      <c r="EH2" s="145" t="s">
        <v>22</v>
      </c>
      <c r="EI2" s="145" t="s">
        <v>78</v>
      </c>
      <c r="EJ2" s="145" t="s">
        <v>104</v>
      </c>
      <c r="EK2" s="145" t="s">
        <v>4</v>
      </c>
      <c r="EL2" s="145" t="s">
        <v>94</v>
      </c>
      <c r="EM2" s="27" t="s">
        <v>113</v>
      </c>
      <c r="EN2" s="27" t="s">
        <v>80</v>
      </c>
      <c r="EO2" s="27" t="s">
        <v>79</v>
      </c>
      <c r="EP2" s="27" t="s">
        <v>114</v>
      </c>
      <c r="EQ2" s="27" t="s">
        <v>78</v>
      </c>
      <c r="ER2" s="27" t="s">
        <v>104</v>
      </c>
      <c r="ES2" s="27" t="s">
        <v>126</v>
      </c>
      <c r="ET2" s="34" t="s">
        <v>79</v>
      </c>
      <c r="EU2" s="34" t="s">
        <v>78</v>
      </c>
      <c r="EV2" s="34" t="s">
        <v>62</v>
      </c>
      <c r="EW2" s="34" t="s">
        <v>4</v>
      </c>
      <c r="EX2" s="34" t="s">
        <v>94</v>
      </c>
      <c r="EY2" s="27" t="s">
        <v>114</v>
      </c>
      <c r="EZ2" s="27" t="s">
        <v>79</v>
      </c>
      <c r="FA2" s="27" t="s">
        <v>78</v>
      </c>
      <c r="FB2" s="27" t="s">
        <v>132</v>
      </c>
      <c r="FC2" s="27" t="s">
        <v>4</v>
      </c>
      <c r="FD2" s="27" t="s">
        <v>94</v>
      </c>
      <c r="FE2" s="34" t="s">
        <v>79</v>
      </c>
      <c r="FF2" s="34" t="s">
        <v>94</v>
      </c>
      <c r="FG2" s="27" t="s">
        <v>177</v>
      </c>
      <c r="FH2" s="27" t="s">
        <v>178</v>
      </c>
      <c r="FI2" s="27" t="s">
        <v>179</v>
      </c>
      <c r="FJ2" s="27" t="s">
        <v>180</v>
      </c>
      <c r="FK2" s="27" t="s">
        <v>181</v>
      </c>
      <c r="FL2" s="27" t="s">
        <v>182</v>
      </c>
      <c r="FM2" s="27" t="s">
        <v>4</v>
      </c>
      <c r="FN2" s="27" t="s">
        <v>94</v>
      </c>
    </row>
    <row r="3" spans="1:170" s="20" customFormat="1" x14ac:dyDescent="0.2">
      <c r="A3" s="24">
        <v>1</v>
      </c>
      <c r="B3" s="24">
        <v>2</v>
      </c>
      <c r="C3" s="24"/>
      <c r="D3" s="24"/>
      <c r="E3" s="24">
        <f>B3+1</f>
        <v>3</v>
      </c>
      <c r="F3" s="24">
        <f t="shared" ref="F3:BH3" si="0">E3+1</f>
        <v>4</v>
      </c>
      <c r="G3" s="24">
        <v>3</v>
      </c>
      <c r="H3" s="24">
        <f t="shared" si="0"/>
        <v>4</v>
      </c>
      <c r="I3" s="24">
        <v>4</v>
      </c>
      <c r="J3" s="24">
        <v>5</v>
      </c>
      <c r="K3" s="24">
        <v>6</v>
      </c>
      <c r="L3" s="24">
        <v>7</v>
      </c>
      <c r="M3" s="24">
        <v>8</v>
      </c>
      <c r="N3" s="24">
        <v>9</v>
      </c>
      <c r="O3" s="24">
        <v>10</v>
      </c>
      <c r="P3" s="24">
        <v>11</v>
      </c>
      <c r="Q3" s="24">
        <v>12</v>
      </c>
      <c r="R3" s="24">
        <v>13</v>
      </c>
      <c r="S3" s="24">
        <v>14</v>
      </c>
      <c r="T3" s="24">
        <v>15</v>
      </c>
      <c r="U3" s="24">
        <f t="shared" si="0"/>
        <v>16</v>
      </c>
      <c r="V3" s="24">
        <f t="shared" si="0"/>
        <v>17</v>
      </c>
      <c r="W3" s="24">
        <v>16</v>
      </c>
      <c r="X3" s="24">
        <v>17</v>
      </c>
      <c r="Y3" s="24">
        <v>18</v>
      </c>
      <c r="Z3" s="24">
        <v>17</v>
      </c>
      <c r="AA3" s="24">
        <f>Z3+1</f>
        <v>18</v>
      </c>
      <c r="AB3" s="24">
        <f t="shared" si="0"/>
        <v>19</v>
      </c>
      <c r="AC3" s="24">
        <f t="shared" si="0"/>
        <v>20</v>
      </c>
      <c r="AD3" s="24">
        <f t="shared" si="0"/>
        <v>21</v>
      </c>
      <c r="AE3" s="24">
        <v>24</v>
      </c>
      <c r="AF3" s="24">
        <v>25</v>
      </c>
      <c r="AG3" s="24">
        <f t="shared" si="0"/>
        <v>26</v>
      </c>
      <c r="AH3" s="24">
        <f t="shared" si="0"/>
        <v>27</v>
      </c>
      <c r="AI3" s="24">
        <f t="shared" si="0"/>
        <v>28</v>
      </c>
      <c r="AJ3" s="24">
        <v>18</v>
      </c>
      <c r="AK3" s="24">
        <f t="shared" si="0"/>
        <v>19</v>
      </c>
      <c r="AL3" s="24">
        <f t="shared" si="0"/>
        <v>20</v>
      </c>
      <c r="AM3" s="24">
        <f t="shared" si="0"/>
        <v>21</v>
      </c>
      <c r="AN3" s="24">
        <f t="shared" si="0"/>
        <v>22</v>
      </c>
      <c r="AO3" s="24">
        <v>21</v>
      </c>
      <c r="AP3" s="24">
        <f t="shared" si="0"/>
        <v>22</v>
      </c>
      <c r="AQ3" s="24">
        <f t="shared" si="0"/>
        <v>23</v>
      </c>
      <c r="AR3" s="24">
        <f t="shared" si="0"/>
        <v>24</v>
      </c>
      <c r="AS3" s="24">
        <f t="shared" si="0"/>
        <v>25</v>
      </c>
      <c r="AT3" s="24">
        <v>19</v>
      </c>
      <c r="AU3" s="24">
        <f t="shared" si="0"/>
        <v>20</v>
      </c>
      <c r="AV3" s="24">
        <f t="shared" si="0"/>
        <v>21</v>
      </c>
      <c r="AW3" s="24">
        <f t="shared" si="0"/>
        <v>22</v>
      </c>
      <c r="AX3" s="24">
        <f t="shared" si="0"/>
        <v>23</v>
      </c>
      <c r="AY3" s="24">
        <v>20</v>
      </c>
      <c r="AZ3" s="24">
        <f t="shared" si="0"/>
        <v>21</v>
      </c>
      <c r="BA3" s="24">
        <f t="shared" si="0"/>
        <v>22</v>
      </c>
      <c r="BB3" s="24">
        <f t="shared" si="0"/>
        <v>23</v>
      </c>
      <c r="BC3" s="24">
        <f t="shared" si="0"/>
        <v>24</v>
      </c>
      <c r="BD3" s="24">
        <v>24</v>
      </c>
      <c r="BE3" s="24">
        <f t="shared" si="0"/>
        <v>25</v>
      </c>
      <c r="BF3" s="24">
        <f t="shared" si="0"/>
        <v>26</v>
      </c>
      <c r="BG3" s="24">
        <f t="shared" si="0"/>
        <v>27</v>
      </c>
      <c r="BH3" s="24">
        <f t="shared" si="0"/>
        <v>28</v>
      </c>
      <c r="BI3" s="24">
        <v>25</v>
      </c>
      <c r="BJ3" s="24">
        <v>21</v>
      </c>
      <c r="BK3" s="24">
        <v>22</v>
      </c>
      <c r="BL3" s="24">
        <v>23</v>
      </c>
      <c r="BM3" s="270">
        <f t="shared" ref="BM3:BP3" si="1">BL3+1</f>
        <v>24</v>
      </c>
      <c r="BN3" s="270">
        <f t="shared" si="1"/>
        <v>25</v>
      </c>
      <c r="BO3" s="24">
        <f t="shared" si="1"/>
        <v>26</v>
      </c>
      <c r="BP3" s="24">
        <f t="shared" si="1"/>
        <v>27</v>
      </c>
      <c r="BQ3" s="24">
        <v>24</v>
      </c>
      <c r="BR3" s="24">
        <f t="shared" ref="BR3:CC3" si="2">BQ3+1</f>
        <v>25</v>
      </c>
      <c r="BS3" s="24">
        <v>25</v>
      </c>
      <c r="BT3" s="24">
        <f t="shared" si="2"/>
        <v>26</v>
      </c>
      <c r="BU3" s="24">
        <v>26</v>
      </c>
      <c r="BV3" s="24">
        <f t="shared" si="2"/>
        <v>27</v>
      </c>
      <c r="BW3" s="24">
        <f>BV3+1</f>
        <v>28</v>
      </c>
      <c r="BX3" s="24">
        <f t="shared" si="2"/>
        <v>29</v>
      </c>
      <c r="BY3" s="24">
        <f t="shared" si="2"/>
        <v>30</v>
      </c>
      <c r="BZ3" s="24">
        <f t="shared" si="2"/>
        <v>31</v>
      </c>
      <c r="CA3" s="24">
        <f t="shared" si="2"/>
        <v>32</v>
      </c>
      <c r="CB3" s="24">
        <f t="shared" si="2"/>
        <v>33</v>
      </c>
      <c r="CC3" s="24">
        <f t="shared" si="2"/>
        <v>34</v>
      </c>
      <c r="CD3" s="24">
        <v>27</v>
      </c>
      <c r="CE3" s="24">
        <v>28</v>
      </c>
      <c r="CF3" s="24">
        <v>29</v>
      </c>
      <c r="CG3" s="24">
        <v>30</v>
      </c>
      <c r="CH3" s="24">
        <v>31</v>
      </c>
      <c r="CI3" s="24">
        <v>32</v>
      </c>
      <c r="CJ3" s="24">
        <v>33</v>
      </c>
      <c r="CK3" s="24">
        <v>34</v>
      </c>
      <c r="CL3" s="24">
        <v>35</v>
      </c>
      <c r="CM3" s="24">
        <v>36</v>
      </c>
      <c r="CN3" s="24">
        <v>37</v>
      </c>
      <c r="CO3" s="24">
        <v>38</v>
      </c>
      <c r="CP3" s="24">
        <v>39</v>
      </c>
      <c r="CQ3" s="24">
        <v>40</v>
      </c>
      <c r="CR3" s="24">
        <v>41</v>
      </c>
      <c r="CS3" s="24">
        <v>42</v>
      </c>
      <c r="CT3" s="24">
        <v>43</v>
      </c>
      <c r="CU3" s="24">
        <v>44</v>
      </c>
      <c r="CV3" s="24">
        <v>45</v>
      </c>
      <c r="CW3" s="24">
        <v>46</v>
      </c>
      <c r="CX3" s="24">
        <v>47</v>
      </c>
      <c r="CY3" s="24">
        <v>48</v>
      </c>
      <c r="CZ3" s="24">
        <v>49</v>
      </c>
      <c r="DA3" s="24">
        <v>50</v>
      </c>
      <c r="DB3" s="24">
        <v>51</v>
      </c>
      <c r="DC3" s="24">
        <v>52</v>
      </c>
      <c r="DD3" s="35"/>
      <c r="DE3" s="21">
        <f>DC3+1</f>
        <v>53</v>
      </c>
      <c r="DF3" s="21">
        <f>DE3+1</f>
        <v>54</v>
      </c>
      <c r="DG3" s="21">
        <f>DF3+1</f>
        <v>55</v>
      </c>
      <c r="DH3" s="21">
        <f>DG3+1</f>
        <v>56</v>
      </c>
      <c r="DI3" s="21">
        <f>DH3+1</f>
        <v>57</v>
      </c>
      <c r="DJ3" s="24">
        <f>DI3+1</f>
        <v>58</v>
      </c>
      <c r="DL3" s="24">
        <v>114</v>
      </c>
      <c r="DM3" s="24">
        <f t="shared" ref="DM3:DW3" si="3">DL3+1</f>
        <v>115</v>
      </c>
      <c r="DN3" s="24">
        <f t="shared" si="3"/>
        <v>116</v>
      </c>
      <c r="DO3" s="24">
        <f t="shared" si="3"/>
        <v>117</v>
      </c>
      <c r="DP3" s="24">
        <f t="shared" si="3"/>
        <v>118</v>
      </c>
      <c r="DQ3" s="24">
        <f t="shared" si="3"/>
        <v>119</v>
      </c>
      <c r="DR3" s="24">
        <f t="shared" si="3"/>
        <v>120</v>
      </c>
      <c r="DS3" s="24">
        <f t="shared" si="3"/>
        <v>121</v>
      </c>
      <c r="DT3" s="24">
        <f t="shared" si="3"/>
        <v>122</v>
      </c>
      <c r="DU3" s="24">
        <f t="shared" si="3"/>
        <v>123</v>
      </c>
      <c r="DV3" s="24">
        <f t="shared" si="3"/>
        <v>124</v>
      </c>
      <c r="DW3" s="177">
        <f t="shared" si="3"/>
        <v>125</v>
      </c>
      <c r="DY3" s="434" t="s">
        <v>61</v>
      </c>
      <c r="DZ3" s="435"/>
      <c r="EA3" s="435"/>
      <c r="EB3" s="435"/>
      <c r="EC3" s="435"/>
      <c r="ED3" s="435"/>
      <c r="EE3" s="436"/>
      <c r="EF3" s="430" t="s">
        <v>143</v>
      </c>
      <c r="EG3" s="430"/>
      <c r="EH3" s="430"/>
      <c r="EI3" s="430"/>
      <c r="EJ3" s="430"/>
      <c r="EK3" s="430"/>
      <c r="EL3" s="431"/>
      <c r="EM3" s="426" t="s">
        <v>161</v>
      </c>
      <c r="EN3" s="427"/>
      <c r="EO3" s="427"/>
      <c r="EP3" s="427"/>
      <c r="EQ3" s="427"/>
      <c r="ER3" s="427"/>
      <c r="ES3" s="428"/>
      <c r="ET3" s="440" t="s">
        <v>144</v>
      </c>
      <c r="EU3" s="441"/>
      <c r="EV3" s="441"/>
      <c r="EW3" s="441"/>
      <c r="EX3" s="441"/>
      <c r="EY3" s="437" t="s">
        <v>34</v>
      </c>
      <c r="EZ3" s="438"/>
      <c r="FA3" s="438"/>
      <c r="FB3" s="438"/>
      <c r="FC3" s="438"/>
      <c r="FD3" s="439"/>
      <c r="FE3" s="442" t="s">
        <v>63</v>
      </c>
      <c r="FF3" s="443"/>
      <c r="FG3" s="437" t="s">
        <v>183</v>
      </c>
      <c r="FH3" s="438"/>
      <c r="FI3" s="438"/>
      <c r="FJ3" s="438"/>
      <c r="FK3" s="438"/>
      <c r="FL3" s="438"/>
      <c r="FM3" s="438"/>
      <c r="FN3" s="439"/>
    </row>
    <row r="4" spans="1:170" s="64" customFormat="1" ht="22.5" x14ac:dyDescent="0.2">
      <c r="A4" s="127">
        <v>1</v>
      </c>
      <c r="B4" s="344" t="s">
        <v>355</v>
      </c>
      <c r="C4" s="344"/>
      <c r="D4" s="344"/>
      <c r="E4" s="420" t="s">
        <v>331</v>
      </c>
      <c r="F4" s="345"/>
      <c r="G4" s="346" t="s">
        <v>53</v>
      </c>
      <c r="H4" s="419" t="s">
        <v>206</v>
      </c>
      <c r="I4" s="347" t="s">
        <v>357</v>
      </c>
      <c r="J4" s="342">
        <f>5105+7146</f>
        <v>12251</v>
      </c>
      <c r="K4" s="342">
        <f>23558-7146</f>
        <v>16412</v>
      </c>
      <c r="L4" s="342">
        <v>312022</v>
      </c>
      <c r="M4" s="342">
        <v>14591</v>
      </c>
      <c r="N4" s="342">
        <v>7813</v>
      </c>
      <c r="O4" s="65">
        <f t="shared" ref="O4:O50" si="4">SUM(J4:N4)</f>
        <v>363089</v>
      </c>
      <c r="P4" s="342">
        <f t="shared" ref="P4:P52" si="5">SUM(J4:N4)</f>
        <v>363089</v>
      </c>
      <c r="Q4" s="342"/>
      <c r="R4" s="342"/>
      <c r="S4" s="342"/>
      <c r="T4" s="65">
        <f t="shared" ref="T4:T50" si="6">SUM(P4:S4)</f>
        <v>363089</v>
      </c>
      <c r="U4" s="66">
        <f t="shared" ref="U4:U53" si="7">ROUND(VLOOKUP($H4,рем_содер,6,0)*P4,0)</f>
        <v>0</v>
      </c>
      <c r="V4" s="66">
        <f t="shared" ref="V4:V53" si="8">ROUND(VLOOKUP($H4,рем_содер,6,0)*Q4,0)</f>
        <v>0</v>
      </c>
      <c r="W4" s="349">
        <f t="shared" ref="W4" si="9">ROUND(VLOOKUP(H4,рем_содер,7,0)*(P4+Q4+U4+V4),0)</f>
        <v>3631</v>
      </c>
      <c r="X4" s="350"/>
      <c r="Y4" s="350"/>
      <c r="Z4" s="351"/>
      <c r="AA4" s="66">
        <f t="shared" ref="AA4:AA53" si="10">ROUND(VLOOKUP(H4,рем_содер,8,0)*SUM(P4,U4,X4),0)</f>
        <v>0</v>
      </c>
      <c r="AB4" s="66">
        <f t="shared" ref="AB4:AB53" si="11">ROUND(VLOOKUP(H4,рем_содер,8,0)*SUM(Q4,V4,Y4),0)</f>
        <v>0</v>
      </c>
      <c r="AC4" s="66">
        <f t="shared" ref="AC4:AC53" si="12">ROUND(VLOOKUP(H4,рем_содер,8,0)*R4,0)</f>
        <v>0</v>
      </c>
      <c r="AD4" s="66">
        <f t="shared" ref="AD4:AD53" si="13">ROUND(VLOOKUP(H4,рем_содер,8,0)*SUM(S4,W4,Z4),0)</f>
        <v>0</v>
      </c>
      <c r="AE4" s="66">
        <f t="shared" ref="AE4:AE53" si="14">ROUND(SUM(AA4:AD4),0)</f>
        <v>0</v>
      </c>
      <c r="AF4" s="66">
        <f t="shared" ref="AF4:AF35" si="15">P4+U4+X4+AA4</f>
        <v>363089</v>
      </c>
      <c r="AG4" s="66">
        <f t="shared" ref="AG4:AG35" si="16">Q4+V4+Y4+AB4</f>
        <v>0</v>
      </c>
      <c r="AH4" s="66">
        <f t="shared" ref="AH4:AH35" si="17">R4+AC4</f>
        <v>0</v>
      </c>
      <c r="AI4" s="66">
        <f t="shared" ref="AI4:AI35" si="18">S4+W4+Z4+AD4</f>
        <v>3631</v>
      </c>
      <c r="AJ4" s="66">
        <f t="shared" ref="AJ4:AJ51" si="19">SUM(AF4:AI4)</f>
        <v>366720</v>
      </c>
      <c r="AK4" s="67">
        <f t="shared" ref="AK4:AK42" si="20">AF4</f>
        <v>363089</v>
      </c>
      <c r="AL4" s="67">
        <f t="shared" ref="AL4" si="21">AG4</f>
        <v>0</v>
      </c>
      <c r="AM4" s="67">
        <f t="shared" ref="AM4" si="22">AH4</f>
        <v>0</v>
      </c>
      <c r="AN4" s="67">
        <f t="shared" ref="AN4:AN35" si="23">IF(F4="да",ROUND(W4/(P4+Q4+U4+V4)*(AK4/(1+X4/(P4+U4))+(AL4/(1+Y4/(Q4+V4))))+S4*(1+VLOOKUP(H4,рем_содер,8,0)),0),AI4)</f>
        <v>3631</v>
      </c>
      <c r="AO4" s="66">
        <f t="shared" ref="AO4:AO50" si="24">SUM(AK4:AN4)</f>
        <v>366720</v>
      </c>
      <c r="AP4" s="66">
        <f t="shared" ref="AP4:AP52" si="25">ROUND($BQ4*AK4,0)</f>
        <v>31988</v>
      </c>
      <c r="AQ4" s="66">
        <f t="shared" ref="AQ4:AQ52" si="26">ROUND($BQ4*AL4,0)</f>
        <v>0</v>
      </c>
      <c r="AR4" s="66">
        <f t="shared" ref="AR4:AR52" si="27">ROUND($BQ4*AM4,0)</f>
        <v>0</v>
      </c>
      <c r="AS4" s="66">
        <f t="shared" ref="AS4:AS52" si="28">ROUND($BQ4*AN4,0)</f>
        <v>320</v>
      </c>
      <c r="AT4" s="66">
        <f t="shared" ref="AT4:AT52" si="29">SUM(AP4:AS4)</f>
        <v>32308</v>
      </c>
      <c r="AU4" s="66">
        <f t="shared" ref="AU4:AU51" si="30">ROUND(18%*SUM(AK4,AP4),0)</f>
        <v>71114</v>
      </c>
      <c r="AV4" s="66">
        <f t="shared" ref="AV4:AV51" si="31">ROUND(18%*SUM(AL4,AQ4),0)</f>
        <v>0</v>
      </c>
      <c r="AW4" s="66">
        <f t="shared" ref="AW4:AW51" si="32">ROUND(18%*SUM(AM4,AR4),0)</f>
        <v>0</v>
      </c>
      <c r="AX4" s="66">
        <f t="shared" ref="AX4:AX51" si="33">ROUND(18%*SUM(AN4,AS4),0)</f>
        <v>711</v>
      </c>
      <c r="AY4" s="66">
        <f t="shared" ref="AY4:AY51" si="34">SUM(AU4:AX4)</f>
        <v>71825</v>
      </c>
      <c r="AZ4" s="66">
        <f t="shared" ref="AZ4:AZ52" si="35">ROUND($BR4*(AF4-AK4),0)</f>
        <v>0</v>
      </c>
      <c r="BA4" s="66">
        <f t="shared" ref="BA4:BA52" si="36">ROUND($BR4*(AG4-AL4),0)</f>
        <v>0</v>
      </c>
      <c r="BB4" s="66">
        <f t="shared" ref="BB4:BB52" si="37">ROUND($BR4*(AH4-AM4),0)</f>
        <v>0</v>
      </c>
      <c r="BC4" s="66">
        <f t="shared" ref="BC4:BC52" si="38">ROUND($BR4*(AI4-AN4),0)</f>
        <v>0</v>
      </c>
      <c r="BD4" s="66">
        <f t="shared" ref="BD4:BD52" si="39">SUM(AZ4:BC4)</f>
        <v>0</v>
      </c>
      <c r="BE4" s="66">
        <f t="shared" ref="BE4:BE51" si="40">ROUND(18%*(AF4-AK4+AZ4),0)</f>
        <v>0</v>
      </c>
      <c r="BF4" s="66">
        <f t="shared" ref="BF4:BF51" si="41">ROUND(18%*(AG4-AL4+BA4),0)</f>
        <v>0</v>
      </c>
      <c r="BG4" s="66">
        <f t="shared" ref="BG4:BG51" si="42">ROUND(18%*(AH4-AM4+BB4),0)</f>
        <v>0</v>
      </c>
      <c r="BH4" s="66">
        <f t="shared" ref="BH4:BH51" si="43">ROUND(18%*(AI4-AN4+BC4),0)</f>
        <v>0</v>
      </c>
      <c r="BI4" s="66">
        <f t="shared" ref="BI4:BI51" si="44">SUM(BE4:BH4)</f>
        <v>0</v>
      </c>
      <c r="BJ4" s="68">
        <f t="shared" ref="BJ4:BJ51" si="45">SUM(AJ4,AT4,AY4,BD4,BI4)</f>
        <v>470853</v>
      </c>
      <c r="BK4" s="352">
        <v>9</v>
      </c>
      <c r="BL4" s="352">
        <v>9</v>
      </c>
      <c r="BM4" s="263">
        <v>1</v>
      </c>
      <c r="BN4" s="263">
        <v>12</v>
      </c>
      <c r="BO4" s="69">
        <f>ROUND((CONCATENATE("15.",BL4,".2015")-CONCATENATE("15.",BK4,".2015"))/2,0)+CONCATENATE("15.",BK4,".2015")</f>
        <v>42262</v>
      </c>
      <c r="BP4" s="69">
        <f>ROUND((CONCATENATE("15.",BN4,".2016")-CONCATENATE("15.",BM4,".2016"))/2,0)+CONCATENATE("15.",BM4,".2016")</f>
        <v>42552</v>
      </c>
      <c r="BQ4" s="70">
        <f t="shared" ref="BQ4:BQ35" si="46">ROUND((IF(VLOOKUP(H4,рем_содер,3,0)=2,(1+VLOOKUP(BO4,рем2015,2,0))*(1+VLOOKUP(E4,инф,2,0)),(1+VLOOKUP(BO4,сод2015,2,0))*(1+VLOOKUP(E4,инф,3,0)))-1)-IF(VLOOKUP(H4,рем_содер,3,0)=2,VLOOKUP(E4,инф,4,0),VLOOKUP(E4,инф,5,0)),4)</f>
        <v>8.8099999999999998E-2</v>
      </c>
      <c r="BR4" s="285">
        <f t="shared" ref="BR4:BR35" si="47">ROUND(IF(VLOOKUP(H4,рем_содер,3,0)=2,(1+VLOOKUP(BP4,рем2016,2,0))*(1+VLOOKUP(E4,инф,6,0))*(1+VLOOKUP(E4,инф,2,0)),(1+VLOOKUP(BP4,сод2016,2,0))*(1+VLOOKUP(E4,инф,7,0))*(1+VLOOKUP(E4,инф,3,0)))-1,4)</f>
        <v>0.1391</v>
      </c>
      <c r="BS4" s="68">
        <f t="shared" ref="BS4:BS52" si="48">AO4+AT4+AY4</f>
        <v>470853</v>
      </c>
      <c r="BT4" s="68">
        <f t="shared" ref="BT4:BT52" si="49">AJ4-AO4+BD4+BI4</f>
        <v>0</v>
      </c>
      <c r="BU4" s="353">
        <v>7.1999999999999995E-2</v>
      </c>
      <c r="BV4" s="71">
        <f t="shared" ref="BV4:BV53" si="50">ROUND(BJ4/BU4,0)</f>
        <v>6539625</v>
      </c>
      <c r="BW4" s="72"/>
      <c r="BX4" s="73">
        <f t="shared" ref="BX4:BX35" si="51">J4/$BJ4</f>
        <v>2.6018736208540671E-2</v>
      </c>
      <c r="BY4" s="73">
        <f t="shared" ref="BY4:BY35" si="52">K4/$BJ4</f>
        <v>3.4855889205335847E-2</v>
      </c>
      <c r="BZ4" s="73">
        <f t="shared" ref="BZ4:BZ35" si="53">L4/$BJ4</f>
        <v>0.66267391308964796</v>
      </c>
      <c r="CA4" s="73">
        <f t="shared" ref="CA4:CA35" si="54">M4/$BJ4</f>
        <v>3.0988440128872492E-2</v>
      </c>
      <c r="CB4" s="73">
        <f t="shared" ref="CB4:CB35" si="55">N4/$BJ4</f>
        <v>1.6593289200663476E-2</v>
      </c>
      <c r="CD4" s="354">
        <v>65.953000000000003</v>
      </c>
      <c r="CE4" s="354">
        <v>18.988</v>
      </c>
      <c r="CF4" s="354"/>
      <c r="CG4" s="354"/>
      <c r="CH4" s="354"/>
      <c r="CI4" s="354"/>
      <c r="CJ4" s="354"/>
      <c r="CK4" s="354"/>
      <c r="CL4" s="354"/>
      <c r="CM4" s="354">
        <v>0.28677399999999997</v>
      </c>
      <c r="CN4" s="354"/>
      <c r="CO4" s="354"/>
      <c r="CP4" s="354"/>
      <c r="CQ4" s="354"/>
      <c r="CR4" s="354"/>
      <c r="CS4" s="354"/>
      <c r="CT4" s="354"/>
      <c r="CU4" s="354"/>
      <c r="CV4" s="354"/>
      <c r="CW4" s="354"/>
      <c r="CX4" s="354"/>
      <c r="CY4" s="354"/>
      <c r="CZ4" s="354"/>
      <c r="DA4" s="354"/>
      <c r="DB4" s="354"/>
      <c r="DC4" s="354"/>
      <c r="DD4" s="95"/>
      <c r="DE4" s="45"/>
      <c r="DF4" s="76"/>
      <c r="DG4" s="77">
        <f t="shared" ref="DG4:DG53" si="56">IF(DF4=0,0,DF4/BJ4-1)</f>
        <v>0</v>
      </c>
      <c r="DH4" s="68">
        <f t="shared" ref="DH4:DH53" si="57">IF(DF4=0,0,BJ4-DF4)</f>
        <v>0</v>
      </c>
      <c r="DI4" s="78"/>
      <c r="DJ4" s="189"/>
      <c r="DL4" s="146">
        <f t="shared" ref="DL4:DL35" si="58">IF(G4=0,0,CN4+EE4+EL4+ES4+EX4+FD4+FF4+FN4)</f>
        <v>5.1841924882629122</v>
      </c>
      <c r="DM4" s="146">
        <f t="shared" ref="DM4" si="59">CP4</f>
        <v>0</v>
      </c>
      <c r="DN4" s="146">
        <f t="shared" ref="DN4:DN35" si="60">IF(G4=0,0,CQ4+EC4+EJ4+ER4+FL4)</f>
        <v>1.4714532034019798</v>
      </c>
      <c r="DO4" s="146">
        <f t="shared" ref="DO4:DO35" si="61">IF(G4=0,0,CR4+EB4+EI4+EQ4+EU4+FA4+FK4)</f>
        <v>39.173928788525465</v>
      </c>
      <c r="DP4" s="146">
        <f t="shared" ref="DP4:DP35" si="62">IF(G4=0,0,CS4+DY4+EF4+EO4+ET4+EZ4+FE4+FH4)</f>
        <v>2.5307463422598526</v>
      </c>
      <c r="DQ4" s="146">
        <f t="shared" ref="DQ4:DQ35" si="63">IF(G4=0,0,CU4+EN4+FG4)</f>
        <v>0</v>
      </c>
      <c r="DR4" s="146">
        <f t="shared" ref="DR4:DR35" si="64">IF(G4=0,0,CV4+DZ4+EG4+EP4+EY4+FI4)</f>
        <v>8.5417516593815783</v>
      </c>
      <c r="DS4" s="146">
        <f t="shared" ref="DS4:DS35" si="65">IF(G4=0,0,EA4+EH4+FJ4)</f>
        <v>0</v>
      </c>
      <c r="DT4" s="146">
        <f t="shared" ref="DT4:DT35" si="66">IF(G4=0,0,CW4+EM4)</f>
        <v>0</v>
      </c>
      <c r="DU4" s="146">
        <f t="shared" ref="DU4:DU35" si="67">IF(G4=0,0,ED4+EK4+EW4+FC4+FM4)</f>
        <v>4.7854084507042254</v>
      </c>
      <c r="DV4" s="146">
        <f t="shared" ref="DV4:DV35" si="68">IF(G4=0,0,EV4)</f>
        <v>0</v>
      </c>
      <c r="DW4" s="181">
        <f t="shared" ref="DW4:DW35" si="69">IF(G4=0,0,FB4)</f>
        <v>0</v>
      </c>
      <c r="DY4" s="183">
        <f>$CD4*VLOOKUP($G4,'Рецепты а.б.'!$B$5:$AW$50,DY$67,0)</f>
        <v>0</v>
      </c>
      <c r="DZ4" s="75">
        <f>$CD4*VLOOKUP($G4,'Рецепты а.б.'!$B$5:$AW$50,DZ$67,0)</f>
        <v>8.5417516593815783</v>
      </c>
      <c r="EA4" s="75">
        <f>$CD4*VLOOKUP($G4,'Рецепты а.б.'!$B$5:$AW$50,EA$67,0)</f>
        <v>0</v>
      </c>
      <c r="EB4" s="75">
        <f>$CD4*VLOOKUP($G4,'Рецепты а.б.'!$B$5:$AW$50,EB$67,0)</f>
        <v>31.560948796544192</v>
      </c>
      <c r="EC4" s="75">
        <f>$CD4*VLOOKUP($G4,'Рецепты а.б.'!$B$5:$AW$50,EC$67,0)</f>
        <v>0</v>
      </c>
      <c r="ED4" s="75">
        <f>$CD4*VLOOKUP($G4,'Рецепты а.б.'!$B$5:$AW$50,ED$67,0)</f>
        <v>3.7156619718309862</v>
      </c>
      <c r="EE4" s="75">
        <f>$CD4*VLOOKUP($G4,'Рецепты а.б.'!$B$5:$AW$50,EE$67,0)</f>
        <v>4.025300469483569</v>
      </c>
      <c r="EF4" s="75">
        <f>$CF4*VLOOKUP($G4,'Рецепты а.б.'!$B$5:$AW$50,EF$67,0)</f>
        <v>0</v>
      </c>
      <c r="EG4" s="75">
        <f>$CF4*VLOOKUP($G4,'Рецепты а.б.'!$B$5:$AW$50,EG$67,0)</f>
        <v>0</v>
      </c>
      <c r="EH4" s="75">
        <f>$CF4*VLOOKUP($G4,'Рецепты а.б.'!$B$5:$AW$50,EH$67,0)</f>
        <v>0</v>
      </c>
      <c r="EI4" s="75">
        <f>$CF4*VLOOKUP($G4,'Рецепты а.б.'!$B$5:$AW$50,EI$67,0)</f>
        <v>0</v>
      </c>
      <c r="EJ4" s="75">
        <f>$CF4*VLOOKUP($G4,'Рецепты а.б.'!$B$5:$AW$50,EJ$67,0)</f>
        <v>0</v>
      </c>
      <c r="EK4" s="75">
        <f>$CF4*VLOOKUP($G4,'Рецепты а.б.'!$B$5:$AW$50,EK$67,0)</f>
        <v>0</v>
      </c>
      <c r="EL4" s="75">
        <f>$CF4*VLOOKUP($G4,'Рецепты а.б.'!$B$5:$AW$50,EL$67,0)</f>
        <v>0</v>
      </c>
      <c r="EM4" s="75">
        <f>$CG4*VLOOKUP($G4,'Рецепты а.б.'!$B$5:$AW$50,EM$67,0)</f>
        <v>0</v>
      </c>
      <c r="EN4" s="75">
        <f>$CG4*VLOOKUP($G4,'Рецепты а.б.'!$B$5:$AW$50,EN$67,0)</f>
        <v>0</v>
      </c>
      <c r="EO4" s="75">
        <f>$CG4*VLOOKUP($G4,'Рецепты а.б.'!$B$5:$AW$50,EO$67,0)</f>
        <v>0</v>
      </c>
      <c r="EP4" s="75">
        <f>$CG4*VLOOKUP($G4,'Рецепты а.б.'!$B$5:$AW$50,EP$67,0)</f>
        <v>0</v>
      </c>
      <c r="EQ4" s="75">
        <f>$CG4*VLOOKUP($G4,'Рецепты а.б.'!$B$5:$AW$50,EQ$67,0)</f>
        <v>0</v>
      </c>
      <c r="ER4" s="75">
        <f>$CG4*VLOOKUP($G4,'Рецепты а.б.'!$B$5:$AW$50,ER$67,0)</f>
        <v>0</v>
      </c>
      <c r="ES4" s="75">
        <f>$CG4*VLOOKUP($G4,'Рецепты а.б.'!$B$5:$AW$50,ES$67,0)</f>
        <v>0</v>
      </c>
      <c r="ET4" s="75">
        <f>$CH4*VLOOKUP($G4,'Рецепты а.б.'!$B$5:$AW$50,ET$67,0)</f>
        <v>0</v>
      </c>
      <c r="EU4" s="75">
        <f>$CH4*VLOOKUP($G4,'Рецепты а.б.'!$B$5:$AW$50,EU$67,0)</f>
        <v>0</v>
      </c>
      <c r="EV4" s="75">
        <f>$CH4*VLOOKUP($G4,'Рецепты а.б.'!$B$5:$AW$50,EV$67,0)</f>
        <v>0</v>
      </c>
      <c r="EW4" s="75">
        <f>$CH4*VLOOKUP($G4,'Рецепты а.б.'!$B$5:$AW$50,EW$67,0)</f>
        <v>0</v>
      </c>
      <c r="EX4" s="75">
        <f>$CH4*VLOOKUP($G4,'Рецепты а.б.'!$B$5:$AW$50,EX$67,0)</f>
        <v>0</v>
      </c>
      <c r="EY4" s="75">
        <f>$CI4*VLOOKUP($G4,'Рецепты а.б.'!$B$5:$AW$50,EY$67,0)</f>
        <v>0</v>
      </c>
      <c r="EZ4" s="75">
        <f>$CI4*VLOOKUP($G4,'Рецепты а.б.'!$B$5:$AW$50,EZ$67,0)</f>
        <v>0</v>
      </c>
      <c r="FA4" s="75">
        <f>$CI4*VLOOKUP($G4,'Рецепты а.б.'!$B$5:$AW$50,FA$67,0)</f>
        <v>0</v>
      </c>
      <c r="FB4" s="75">
        <f>$CI4*VLOOKUP($G4,'Рецепты а.б.'!$B$5:$AW$50,FB$67,0)</f>
        <v>0</v>
      </c>
      <c r="FC4" s="75">
        <f>$CI4*VLOOKUP($G4,'Рецепты а.б.'!$B$5:$AW$50,FC$67,0)</f>
        <v>0</v>
      </c>
      <c r="FD4" s="75">
        <f>$CI4*VLOOKUP($G4,'Рецепты а.б.'!$B$5:$AW$50,FD$67,0)</f>
        <v>0</v>
      </c>
      <c r="FE4" s="75">
        <f>$CJ4*VLOOKUP($G4,'Рецепты а.б.'!$B$5:$AW$50,FE$67,0)</f>
        <v>0</v>
      </c>
      <c r="FF4" s="75">
        <f>$CJ4*VLOOKUP($G4,'Рецепты а.б.'!$B$5:$AW$50,FF$67,0)</f>
        <v>0</v>
      </c>
      <c r="FG4" s="75">
        <f>$CE4*VLOOKUP($G4,'Рецепты а.б.'!$B$5:$AW$50,FG$67,0)</f>
        <v>0</v>
      </c>
      <c r="FH4" s="75">
        <f>$CE4*VLOOKUP($G4,'Рецепты а.б.'!$B$5:$AW$50,FH$67,0)</f>
        <v>2.5307463422598526</v>
      </c>
      <c r="FI4" s="75">
        <f>$CE4*VLOOKUP($G4,'Рецепты а.б.'!$B$5:$AW$50,FI$67,0)</f>
        <v>0</v>
      </c>
      <c r="FJ4" s="75">
        <f>$CE4*VLOOKUP($G4,'Рецепты а.б.'!$B$5:$AW$50,FJ$67,0)</f>
        <v>0</v>
      </c>
      <c r="FK4" s="75">
        <f>$CE4*VLOOKUP($G4,'Рецепты а.б.'!$B$5:$AW$50,FK$67,0)</f>
        <v>7.6129799919812733</v>
      </c>
      <c r="FL4" s="75">
        <f>$CE4*VLOOKUP($G4,'Рецепты а.б.'!$B$5:$AW$50,FL$67,0)</f>
        <v>1.4714532034019798</v>
      </c>
      <c r="FM4" s="75">
        <f>$CE4*VLOOKUP($G4,'Рецепты а.б.'!$B$5:$AW$50,FM$67,0)</f>
        <v>1.0697464788732394</v>
      </c>
      <c r="FN4" s="75">
        <f>$CE4*VLOOKUP($G4,'Рецепты а.б.'!$B$5:$AW$50,FN$67,0)</f>
        <v>1.1588920187793428</v>
      </c>
    </row>
    <row r="5" spans="1:170" s="64" customFormat="1" ht="22.5" x14ac:dyDescent="0.2">
      <c r="A5" s="127">
        <f>A4+1</f>
        <v>2</v>
      </c>
      <c r="B5" s="344" t="s">
        <v>355</v>
      </c>
      <c r="C5" s="344"/>
      <c r="D5" s="344"/>
      <c r="E5" s="420" t="s">
        <v>331</v>
      </c>
      <c r="F5" s="345"/>
      <c r="G5" s="346" t="s">
        <v>53</v>
      </c>
      <c r="H5" s="419" t="s">
        <v>206</v>
      </c>
      <c r="I5" s="347" t="s">
        <v>359</v>
      </c>
      <c r="J5" s="348">
        <f>15067+18938</f>
        <v>34005</v>
      </c>
      <c r="K5" s="348">
        <f>63249-18938</f>
        <v>44311</v>
      </c>
      <c r="L5" s="348">
        <v>810148</v>
      </c>
      <c r="M5" s="348">
        <v>39544</v>
      </c>
      <c r="N5" s="348">
        <v>21077</v>
      </c>
      <c r="O5" s="65">
        <f t="shared" ref="O5" si="70">SUM(J5:N5)</f>
        <v>949085</v>
      </c>
      <c r="P5" s="342">
        <f t="shared" si="5"/>
        <v>949085</v>
      </c>
      <c r="Q5" s="342"/>
      <c r="R5" s="342"/>
      <c r="S5" s="342"/>
      <c r="T5" s="65">
        <f t="shared" ref="T5" si="71">SUM(P5:S5)</f>
        <v>949085</v>
      </c>
      <c r="U5" s="66">
        <f t="shared" ref="U5" si="72">ROUND(VLOOKUP($H5,рем_содер,6,0)*P5,0)</f>
        <v>0</v>
      </c>
      <c r="V5" s="66">
        <f t="shared" ref="V5" si="73">ROUND(VLOOKUP($H5,рем_содер,6,0)*Q5,0)</f>
        <v>0</v>
      </c>
      <c r="W5" s="349">
        <f t="shared" ref="W5:W40" si="74">ROUND(VLOOKUP(H5,рем_содер,7,0)*(P5+Q5+U5+V5),0)</f>
        <v>9491</v>
      </c>
      <c r="X5" s="350"/>
      <c r="Y5" s="350"/>
      <c r="Z5" s="351"/>
      <c r="AA5" s="66">
        <f t="shared" ref="AA5" si="75">ROUND(VLOOKUP(H5,рем_содер,8,0)*SUM(P5,U5,X5),0)</f>
        <v>0</v>
      </c>
      <c r="AB5" s="66">
        <f t="shared" ref="AB5" si="76">ROUND(VLOOKUP(H5,рем_содер,8,0)*SUM(Q5,V5,Y5),0)</f>
        <v>0</v>
      </c>
      <c r="AC5" s="66">
        <f t="shared" ref="AC5" si="77">ROUND(VLOOKUP(H5,рем_содер,8,0)*R5,0)</f>
        <v>0</v>
      </c>
      <c r="AD5" s="66">
        <f t="shared" ref="AD5" si="78">ROUND(VLOOKUP(H5,рем_содер,8,0)*SUM(S5,W5,Z5),0)</f>
        <v>0</v>
      </c>
      <c r="AE5" s="66">
        <f t="shared" si="14"/>
        <v>0</v>
      </c>
      <c r="AF5" s="66">
        <f t="shared" si="15"/>
        <v>949085</v>
      </c>
      <c r="AG5" s="66">
        <f t="shared" si="16"/>
        <v>0</v>
      </c>
      <c r="AH5" s="66">
        <f t="shared" si="17"/>
        <v>0</v>
      </c>
      <c r="AI5" s="66">
        <f t="shared" si="18"/>
        <v>9491</v>
      </c>
      <c r="AJ5" s="66">
        <f t="shared" ref="AJ5" si="79">SUM(AF5:AI5)</f>
        <v>958576</v>
      </c>
      <c r="AK5" s="67">
        <f t="shared" ref="AK5" si="80">AF5</f>
        <v>949085</v>
      </c>
      <c r="AL5" s="67">
        <f t="shared" ref="AL5" si="81">AG5</f>
        <v>0</v>
      </c>
      <c r="AM5" s="67">
        <f t="shared" ref="AM5" si="82">AH5</f>
        <v>0</v>
      </c>
      <c r="AN5" s="67">
        <f t="shared" si="23"/>
        <v>9491</v>
      </c>
      <c r="AO5" s="66">
        <f t="shared" ref="AO5" si="83">SUM(AK5:AN5)</f>
        <v>958576</v>
      </c>
      <c r="AP5" s="66">
        <f>ROUND($BQ5*AK5,0)</f>
        <v>83614</v>
      </c>
      <c r="AQ5" s="66">
        <f>ROUND($BQ5*AL5,0)</f>
        <v>0</v>
      </c>
      <c r="AR5" s="66">
        <f>ROUND($BQ5*AM5,0)</f>
        <v>0</v>
      </c>
      <c r="AS5" s="66">
        <f>ROUND($BQ5*AN5,0)</f>
        <v>836</v>
      </c>
      <c r="AT5" s="66">
        <f t="shared" ref="AT5" si="84">SUM(AP5:AS5)</f>
        <v>84450</v>
      </c>
      <c r="AU5" s="66">
        <f t="shared" ref="AU5" si="85">ROUND(18%*SUM(AK5,AP5),0)</f>
        <v>185886</v>
      </c>
      <c r="AV5" s="66">
        <f t="shared" ref="AV5" si="86">ROUND(18%*SUM(AL5,AQ5),0)</f>
        <v>0</v>
      </c>
      <c r="AW5" s="66">
        <f t="shared" ref="AW5" si="87">ROUND(18%*SUM(AM5,AR5),0)</f>
        <v>0</v>
      </c>
      <c r="AX5" s="66">
        <f t="shared" ref="AX5" si="88">ROUND(18%*SUM(AN5,AS5),0)</f>
        <v>1859</v>
      </c>
      <c r="AY5" s="66">
        <f t="shared" ref="AY5" si="89">SUM(AU5:AX5)</f>
        <v>187745</v>
      </c>
      <c r="AZ5" s="66">
        <f>ROUND($BR5*(AF5-AK5),0)</f>
        <v>0</v>
      </c>
      <c r="BA5" s="66">
        <f>ROUND($BR5*(AG5-AL5),0)</f>
        <v>0</v>
      </c>
      <c r="BB5" s="66">
        <f>ROUND($BR5*(AH5-AM5),0)</f>
        <v>0</v>
      </c>
      <c r="BC5" s="66">
        <f>ROUND($BR5*(AI5-AN5),0)</f>
        <v>0</v>
      </c>
      <c r="BD5" s="66">
        <f t="shared" ref="BD5" si="90">SUM(AZ5:BC5)</f>
        <v>0</v>
      </c>
      <c r="BE5" s="66">
        <f t="shared" ref="BE5" si="91">ROUND(18%*(AF5-AK5+AZ5),0)</f>
        <v>0</v>
      </c>
      <c r="BF5" s="66">
        <f t="shared" ref="BF5" si="92">ROUND(18%*(AG5-AL5+BA5),0)</f>
        <v>0</v>
      </c>
      <c r="BG5" s="66">
        <f t="shared" ref="BG5" si="93">ROUND(18%*(AH5-AM5+BB5),0)</f>
        <v>0</v>
      </c>
      <c r="BH5" s="66">
        <f t="shared" ref="BH5" si="94">ROUND(18%*(AI5-AN5+BC5),0)</f>
        <v>0</v>
      </c>
      <c r="BI5" s="66">
        <f t="shared" ref="BI5" si="95">SUM(BE5:BH5)</f>
        <v>0</v>
      </c>
      <c r="BJ5" s="68">
        <f t="shared" ref="BJ5" si="96">SUM(AJ5,AT5,AY5,BD5,BI5)</f>
        <v>1230771</v>
      </c>
      <c r="BK5" s="352">
        <v>9</v>
      </c>
      <c r="BL5" s="352">
        <v>9</v>
      </c>
      <c r="BM5" s="263">
        <v>1</v>
      </c>
      <c r="BN5" s="263">
        <v>12</v>
      </c>
      <c r="BO5" s="69">
        <f t="shared" ref="BO5" si="97">ROUND((CONCATENATE("15.",BL5,".2015")-CONCATENATE("15.",BK5,".2015"))/2,0)+CONCATENATE("15.",BK5,".2015")</f>
        <v>42262</v>
      </c>
      <c r="BP5" s="69">
        <f t="shared" ref="BP5" si="98">ROUND((CONCATENATE("15.",BN5,".2016")-CONCATENATE("15.",BM5,".2016"))/2,0)+CONCATENATE("15.",BM5,".2016")</f>
        <v>42552</v>
      </c>
      <c r="BQ5" s="70">
        <f t="shared" si="46"/>
        <v>8.8099999999999998E-2</v>
      </c>
      <c r="BR5" s="285">
        <f t="shared" si="47"/>
        <v>0.1391</v>
      </c>
      <c r="BS5" s="68">
        <f t="shared" ref="BS5" si="99">AO5+AT5+AY5</f>
        <v>1230771</v>
      </c>
      <c r="BT5" s="68">
        <f t="shared" ref="BT5" si="100">AJ5-AO5+BD5+BI5</f>
        <v>0</v>
      </c>
      <c r="BU5" s="353">
        <v>0.28999999999999998</v>
      </c>
      <c r="BV5" s="71">
        <f t="shared" ref="BV5" si="101">ROUND(BJ5/BU5,0)</f>
        <v>4244038</v>
      </c>
      <c r="BW5" s="72"/>
      <c r="BX5" s="73">
        <f t="shared" si="51"/>
        <v>2.762902278327975E-2</v>
      </c>
      <c r="BY5" s="73">
        <f t="shared" si="52"/>
        <v>3.6002635746211112E-2</v>
      </c>
      <c r="BZ5" s="73">
        <f t="shared" si="53"/>
        <v>0.65824430377381338</v>
      </c>
      <c r="CA5" s="73">
        <f t="shared" si="54"/>
        <v>3.2129453813910143E-2</v>
      </c>
      <c r="CB5" s="73">
        <f t="shared" si="55"/>
        <v>1.7125037882758043E-2</v>
      </c>
      <c r="CD5" s="354">
        <v>166.14500000000001</v>
      </c>
      <c r="CE5" s="354">
        <v>46.803400000000003</v>
      </c>
      <c r="CF5" s="354"/>
      <c r="CG5" s="354"/>
      <c r="CH5" s="354"/>
      <c r="CI5" s="354"/>
      <c r="CJ5" s="354"/>
      <c r="CK5" s="354"/>
      <c r="CL5" s="354"/>
      <c r="CM5" s="354">
        <v>0.71840159999999997</v>
      </c>
      <c r="CN5" s="354"/>
      <c r="CO5" s="354"/>
      <c r="CP5" s="354">
        <f>5.002+10.2752</f>
        <v>15.277200000000001</v>
      </c>
      <c r="CQ5" s="354"/>
      <c r="CR5" s="354"/>
      <c r="CS5" s="354"/>
      <c r="CT5" s="354"/>
      <c r="CU5" s="354"/>
      <c r="CV5" s="354"/>
      <c r="CW5" s="354"/>
      <c r="CX5" s="354"/>
      <c r="CY5" s="354"/>
      <c r="CZ5" s="354"/>
      <c r="DA5" s="354"/>
      <c r="DB5" s="354"/>
      <c r="DC5" s="354"/>
      <c r="DD5" s="95"/>
      <c r="DE5" s="45"/>
      <c r="DF5" s="76"/>
      <c r="DG5" s="77">
        <f t="shared" ref="DG5" si="102">IF(DF5=0,0,DF5/BJ5-1)</f>
        <v>0</v>
      </c>
      <c r="DH5" s="68">
        <f t="shared" ref="DH5" si="103">IF(DF5=0,0,BJ5-DF5)</f>
        <v>0</v>
      </c>
      <c r="DI5" s="78"/>
      <c r="DJ5" s="189"/>
      <c r="DL5" s="146">
        <f t="shared" si="58"/>
        <v>12.996850704225356</v>
      </c>
      <c r="DM5" s="146">
        <f t="shared" ref="DM5" si="104">CP5</f>
        <v>15.277200000000001</v>
      </c>
      <c r="DN5" s="146">
        <f t="shared" si="60"/>
        <v>3.6269756088110507</v>
      </c>
      <c r="DO5" s="146">
        <f t="shared" si="61"/>
        <v>98.271710705001368</v>
      </c>
      <c r="DP5" s="146">
        <f t="shared" si="62"/>
        <v>6.2380205053362543</v>
      </c>
      <c r="DQ5" s="146">
        <f t="shared" si="63"/>
        <v>0</v>
      </c>
      <c r="DR5" s="146">
        <f t="shared" si="64"/>
        <v>21.517888942852522</v>
      </c>
      <c r="DS5" s="146">
        <f t="shared" si="65"/>
        <v>0</v>
      </c>
      <c r="DT5" s="146">
        <f t="shared" si="66"/>
        <v>0</v>
      </c>
      <c r="DU5" s="146">
        <f t="shared" si="67"/>
        <v>11.99709295774648</v>
      </c>
      <c r="DV5" s="146">
        <f t="shared" si="68"/>
        <v>0</v>
      </c>
      <c r="DW5" s="181">
        <f t="shared" si="69"/>
        <v>0</v>
      </c>
      <c r="DY5" s="183">
        <f>$CD5*VLOOKUP($G5,'Рецепты а.б.'!$B$5:$AW$50,DY$67,0)</f>
        <v>0</v>
      </c>
      <c r="DZ5" s="75">
        <f>$CD5*VLOOKUP($G5,'Рецепты а.б.'!$B$5:$AW$50,DZ$67,0)</f>
        <v>21.517888942852522</v>
      </c>
      <c r="EA5" s="75">
        <f>$CD5*VLOOKUP($G5,'Рецепты а.б.'!$B$5:$AW$50,EA$67,0)</f>
        <v>0</v>
      </c>
      <c r="EB5" s="75">
        <f>$CD5*VLOOKUP($G5,'Рецепты а.б.'!$B$5:$AW$50,EB$67,0)</f>
        <v>79.506524916256041</v>
      </c>
      <c r="EC5" s="75">
        <f>$CD5*VLOOKUP($G5,'Рецепты а.б.'!$B$5:$AW$50,EC$67,0)</f>
        <v>0</v>
      </c>
      <c r="ED5" s="75">
        <f>$CD5*VLOOKUP($G5,'Рецепты а.б.'!$B$5:$AW$50,ED$67,0)</f>
        <v>9.3602816901408463</v>
      </c>
      <c r="EE5" s="75">
        <f>$CD5*VLOOKUP($G5,'Рецепты а.б.'!$B$5:$AW$50,EE$67,0)</f>
        <v>10.140305164319251</v>
      </c>
      <c r="EF5" s="75">
        <f>$CF5*VLOOKUP($G5,'Рецепты а.б.'!$B$5:$AW$50,EF$67,0)</f>
        <v>0</v>
      </c>
      <c r="EG5" s="75">
        <f>$CF5*VLOOKUP($G5,'Рецепты а.б.'!$B$5:$AW$50,EG$67,0)</f>
        <v>0</v>
      </c>
      <c r="EH5" s="75">
        <f>$CF5*VLOOKUP($G5,'Рецепты а.б.'!$B$5:$AW$50,EH$67,0)</f>
        <v>0</v>
      </c>
      <c r="EI5" s="75">
        <f>$CF5*VLOOKUP($G5,'Рецепты а.б.'!$B$5:$AW$50,EI$67,0)</f>
        <v>0</v>
      </c>
      <c r="EJ5" s="75">
        <f>$CF5*VLOOKUP($G5,'Рецепты а.б.'!$B$5:$AW$50,EJ$67,0)</f>
        <v>0</v>
      </c>
      <c r="EK5" s="75">
        <f>$CF5*VLOOKUP($G5,'Рецепты а.б.'!$B$5:$AW$50,EK$67,0)</f>
        <v>0</v>
      </c>
      <c r="EL5" s="75">
        <f>$CF5*VLOOKUP($G5,'Рецепты а.б.'!$B$5:$AW$50,EL$67,0)</f>
        <v>0</v>
      </c>
      <c r="EM5" s="75">
        <f>$CG5*VLOOKUP($G5,'Рецепты а.б.'!$B$5:$AW$50,EM$67,0)</f>
        <v>0</v>
      </c>
      <c r="EN5" s="75">
        <f>$CG5*VLOOKUP($G5,'Рецепты а.б.'!$B$5:$AW$50,EN$67,0)</f>
        <v>0</v>
      </c>
      <c r="EO5" s="75">
        <f>$CG5*VLOOKUP($G5,'Рецепты а.б.'!$B$5:$AW$50,EO$67,0)</f>
        <v>0</v>
      </c>
      <c r="EP5" s="75">
        <f>$CG5*VLOOKUP($G5,'Рецепты а.б.'!$B$5:$AW$50,EP$67,0)</f>
        <v>0</v>
      </c>
      <c r="EQ5" s="75">
        <f>$CG5*VLOOKUP($G5,'Рецепты а.б.'!$B$5:$AW$50,EQ$67,0)</f>
        <v>0</v>
      </c>
      <c r="ER5" s="75">
        <f>$CG5*VLOOKUP($G5,'Рецепты а.б.'!$B$5:$AW$50,ER$67,0)</f>
        <v>0</v>
      </c>
      <c r="ES5" s="75">
        <f>$CG5*VLOOKUP($G5,'Рецепты а.б.'!$B$5:$AW$50,ES$67,0)</f>
        <v>0</v>
      </c>
      <c r="ET5" s="75">
        <f>$CH5*VLOOKUP($G5,'Рецепты а.б.'!$B$5:$AW$50,ET$67,0)</f>
        <v>0</v>
      </c>
      <c r="EU5" s="75">
        <f>$CH5*VLOOKUP($G5,'Рецепты а.б.'!$B$5:$AW$50,EU$67,0)</f>
        <v>0</v>
      </c>
      <c r="EV5" s="75">
        <f>$CH5*VLOOKUP($G5,'Рецепты а.б.'!$B$5:$AW$50,EV$67,0)</f>
        <v>0</v>
      </c>
      <c r="EW5" s="75">
        <f>$CH5*VLOOKUP($G5,'Рецепты а.б.'!$B$5:$AW$50,EW$67,0)</f>
        <v>0</v>
      </c>
      <c r="EX5" s="75">
        <f>$CH5*VLOOKUP($G5,'Рецепты а.б.'!$B$5:$AW$50,EX$67,0)</f>
        <v>0</v>
      </c>
      <c r="EY5" s="75">
        <f>$CI5*VLOOKUP($G5,'Рецепты а.б.'!$B$5:$AW$50,EY$67,0)</f>
        <v>0</v>
      </c>
      <c r="EZ5" s="75">
        <f>$CI5*VLOOKUP($G5,'Рецепты а.б.'!$B$5:$AW$50,EZ$67,0)</f>
        <v>0</v>
      </c>
      <c r="FA5" s="75">
        <f>$CI5*VLOOKUP($G5,'Рецепты а.б.'!$B$5:$AW$50,FA$67,0)</f>
        <v>0</v>
      </c>
      <c r="FB5" s="75">
        <f>$CI5*VLOOKUP($G5,'Рецепты а.б.'!$B$5:$AW$50,FB$67,0)</f>
        <v>0</v>
      </c>
      <c r="FC5" s="75">
        <f>$CI5*VLOOKUP($G5,'Рецепты а.б.'!$B$5:$AW$50,FC$67,0)</f>
        <v>0</v>
      </c>
      <c r="FD5" s="75">
        <f>$CI5*VLOOKUP($G5,'Рецепты а.б.'!$B$5:$AW$50,FD$67,0)</f>
        <v>0</v>
      </c>
      <c r="FE5" s="75">
        <f>$CJ5*VLOOKUP($G5,'Рецепты а.б.'!$B$5:$AW$50,FE$67,0)</f>
        <v>0</v>
      </c>
      <c r="FF5" s="75">
        <f>$CJ5*VLOOKUP($G5,'Рецепты а.б.'!$B$5:$AW$50,FF$67,0)</f>
        <v>0</v>
      </c>
      <c r="FG5" s="75">
        <f>$CE5*VLOOKUP($G5,'Рецепты а.б.'!$B$5:$AW$50,FG$67,0)</f>
        <v>0</v>
      </c>
      <c r="FH5" s="75">
        <f>$CE5*VLOOKUP($G5,'Рецепты а.б.'!$B$5:$AW$50,FH$67,0)</f>
        <v>6.2380205053362543</v>
      </c>
      <c r="FI5" s="75">
        <f>$CE5*VLOOKUP($G5,'Рецепты а.б.'!$B$5:$AW$50,FI$67,0)</f>
        <v>0</v>
      </c>
      <c r="FJ5" s="75">
        <f>$CE5*VLOOKUP($G5,'Рецепты а.б.'!$B$5:$AW$50,FJ$67,0)</f>
        <v>0</v>
      </c>
      <c r="FK5" s="75">
        <f>$CE5*VLOOKUP($G5,'Рецепты а.б.'!$B$5:$AW$50,FK$67,0)</f>
        <v>18.765185788745331</v>
      </c>
      <c r="FL5" s="75">
        <f>$CE5*VLOOKUP($G5,'Рецепты а.б.'!$B$5:$AW$50,FL$67,0)</f>
        <v>3.6269756088110507</v>
      </c>
      <c r="FM5" s="75">
        <f>$CE5*VLOOKUP($G5,'Рецепты а.б.'!$B$5:$AW$50,FM$67,0)</f>
        <v>2.6368112676056339</v>
      </c>
      <c r="FN5" s="75">
        <f>$CE5*VLOOKUP($G5,'Рецепты а.б.'!$B$5:$AW$50,FN$67,0)</f>
        <v>2.8565455399061039</v>
      </c>
    </row>
    <row r="6" spans="1:170" s="64" customFormat="1" ht="22.5" x14ac:dyDescent="0.2">
      <c r="A6" s="127">
        <f t="shared" ref="A6:A25" si="105">A5+1</f>
        <v>3</v>
      </c>
      <c r="B6" s="344" t="s">
        <v>355</v>
      </c>
      <c r="C6" s="344"/>
      <c r="D6" s="344"/>
      <c r="E6" s="420" t="s">
        <v>331</v>
      </c>
      <c r="F6" s="345"/>
      <c r="G6" s="346" t="s">
        <v>53</v>
      </c>
      <c r="H6" s="419" t="s">
        <v>206</v>
      </c>
      <c r="I6" s="347" t="s">
        <v>358</v>
      </c>
      <c r="J6" s="348">
        <f>7993+8250</f>
        <v>16243</v>
      </c>
      <c r="K6" s="348">
        <f>32070-8250</f>
        <v>23820</v>
      </c>
      <c r="L6" s="348">
        <v>246205</v>
      </c>
      <c r="M6" s="348">
        <v>19654</v>
      </c>
      <c r="N6" s="348">
        <v>10558</v>
      </c>
      <c r="O6" s="65">
        <f t="shared" ref="O6:O30" si="106">SUM(J6:N6)</f>
        <v>316480</v>
      </c>
      <c r="P6" s="342">
        <f t="shared" si="5"/>
        <v>316480</v>
      </c>
      <c r="Q6" s="342"/>
      <c r="R6" s="342"/>
      <c r="S6" s="342"/>
      <c r="T6" s="65">
        <f t="shared" ref="T6:T30" si="107">SUM(P6:S6)</f>
        <v>316480</v>
      </c>
      <c r="U6" s="66">
        <f t="shared" ref="U6:U40" si="108">ROUND(VLOOKUP($H6,рем_содер,6,0)*P6,0)</f>
        <v>0</v>
      </c>
      <c r="V6" s="66">
        <f t="shared" ref="V6:V40" si="109">ROUND(VLOOKUP($H6,рем_содер,6,0)*Q6,0)</f>
        <v>0</v>
      </c>
      <c r="W6" s="349">
        <f t="shared" si="74"/>
        <v>3165</v>
      </c>
      <c r="X6" s="350"/>
      <c r="Y6" s="350"/>
      <c r="Z6" s="351"/>
      <c r="AA6" s="66">
        <f t="shared" ref="AA6:AA40" si="110">ROUND(VLOOKUP(H6,рем_содер,8,0)*SUM(P6,U6,X6),0)</f>
        <v>0</v>
      </c>
      <c r="AB6" s="66">
        <f t="shared" ref="AB6:AB40" si="111">ROUND(VLOOKUP(H6,рем_содер,8,0)*SUM(Q6,V6,Y6),0)</f>
        <v>0</v>
      </c>
      <c r="AC6" s="66">
        <f t="shared" ref="AC6:AC40" si="112">ROUND(VLOOKUP(H6,рем_содер,8,0)*R6,0)</f>
        <v>0</v>
      </c>
      <c r="AD6" s="66">
        <f t="shared" ref="AD6:AD40" si="113">ROUND(VLOOKUP(H6,рем_содер,8,0)*SUM(S6,W6,Z6),0)</f>
        <v>0</v>
      </c>
      <c r="AE6" s="66">
        <f t="shared" si="14"/>
        <v>0</v>
      </c>
      <c r="AF6" s="66">
        <f t="shared" si="15"/>
        <v>316480</v>
      </c>
      <c r="AG6" s="66">
        <f t="shared" si="16"/>
        <v>0</v>
      </c>
      <c r="AH6" s="66">
        <f t="shared" si="17"/>
        <v>0</v>
      </c>
      <c r="AI6" s="66">
        <f t="shared" si="18"/>
        <v>3165</v>
      </c>
      <c r="AJ6" s="66">
        <f t="shared" ref="AJ6:AJ39" si="114">SUM(AF6:AI6)</f>
        <v>319645</v>
      </c>
      <c r="AK6" s="67">
        <f t="shared" ref="AK6:AK40" si="115">AF6</f>
        <v>316480</v>
      </c>
      <c r="AL6" s="67">
        <f t="shared" ref="AL6:AL40" si="116">AG6</f>
        <v>0</v>
      </c>
      <c r="AM6" s="67">
        <f t="shared" ref="AM6:AM40" si="117">AH6</f>
        <v>0</v>
      </c>
      <c r="AN6" s="67">
        <f t="shared" si="23"/>
        <v>3165</v>
      </c>
      <c r="AO6" s="66">
        <f t="shared" ref="AO6:AO38" si="118">SUM(AK6:AN6)</f>
        <v>319645</v>
      </c>
      <c r="AP6" s="66">
        <f t="shared" ref="AP6:AP40" si="119">ROUND($BQ6*AK6,0)</f>
        <v>27882</v>
      </c>
      <c r="AQ6" s="66">
        <f t="shared" ref="AQ6:AQ40" si="120">ROUND($BQ6*AL6,0)</f>
        <v>0</v>
      </c>
      <c r="AR6" s="66">
        <f t="shared" ref="AR6:AR40" si="121">ROUND($BQ6*AM6,0)</f>
        <v>0</v>
      </c>
      <c r="AS6" s="66">
        <f t="shared" ref="AS6:AS40" si="122">ROUND($BQ6*AN6,0)</f>
        <v>279</v>
      </c>
      <c r="AT6" s="66">
        <f t="shared" ref="AT6:AT40" si="123">SUM(AP6:AS6)</f>
        <v>28161</v>
      </c>
      <c r="AU6" s="66">
        <f t="shared" ref="AU6:AU40" si="124">ROUND(18%*SUM(AK6,AP6),0)</f>
        <v>61985</v>
      </c>
      <c r="AV6" s="66">
        <f t="shared" ref="AV6:AV40" si="125">ROUND(18%*SUM(AL6,AQ6),0)</f>
        <v>0</v>
      </c>
      <c r="AW6" s="66">
        <f t="shared" ref="AW6:AW40" si="126">ROUND(18%*SUM(AM6,AR6),0)</f>
        <v>0</v>
      </c>
      <c r="AX6" s="66">
        <f t="shared" ref="AX6:AX40" si="127">ROUND(18%*SUM(AN6,AS6),0)</f>
        <v>620</v>
      </c>
      <c r="AY6" s="66">
        <f t="shared" ref="AY6:AY40" si="128">SUM(AU6:AX6)</f>
        <v>62605</v>
      </c>
      <c r="AZ6" s="66">
        <f t="shared" ref="AZ6:AZ40" si="129">ROUND($BR6*(AF6-AK6),0)</f>
        <v>0</v>
      </c>
      <c r="BA6" s="66">
        <f t="shared" ref="BA6:BA40" si="130">ROUND($BR6*(AG6-AL6),0)</f>
        <v>0</v>
      </c>
      <c r="BB6" s="66">
        <f t="shared" ref="BB6:BB40" si="131">ROUND($BR6*(AH6-AM6),0)</f>
        <v>0</v>
      </c>
      <c r="BC6" s="66">
        <f t="shared" ref="BC6:BC40" si="132">ROUND($BR6*(AI6-AN6),0)</f>
        <v>0</v>
      </c>
      <c r="BD6" s="66">
        <f t="shared" ref="BD6:BD40" si="133">SUM(AZ6:BC6)</f>
        <v>0</v>
      </c>
      <c r="BE6" s="66">
        <f t="shared" ref="BE6:BE40" si="134">ROUND(18%*(AF6-AK6+AZ6),0)</f>
        <v>0</v>
      </c>
      <c r="BF6" s="66">
        <f t="shared" ref="BF6:BF40" si="135">ROUND(18%*(AG6-AL6+BA6),0)</f>
        <v>0</v>
      </c>
      <c r="BG6" s="66">
        <f t="shared" ref="BG6:BG40" si="136">ROUND(18%*(AH6-AM6+BB6),0)</f>
        <v>0</v>
      </c>
      <c r="BH6" s="66">
        <f t="shared" ref="BH6:BH40" si="137">ROUND(18%*(AI6-AN6+BC6),0)</f>
        <v>0</v>
      </c>
      <c r="BI6" s="66">
        <f t="shared" ref="BI6:BI40" si="138">SUM(BE6:BH6)</f>
        <v>0</v>
      </c>
      <c r="BJ6" s="68">
        <f t="shared" ref="BJ6:BJ40" si="139">SUM(AJ6,AT6,AY6,BD6,BI6)</f>
        <v>410411</v>
      </c>
      <c r="BK6" s="352">
        <v>9</v>
      </c>
      <c r="BL6" s="352">
        <v>9</v>
      </c>
      <c r="BM6" s="263">
        <v>1</v>
      </c>
      <c r="BN6" s="263">
        <v>12</v>
      </c>
      <c r="BO6" s="69">
        <f t="shared" ref="BO6:BO40" si="140">ROUND((CONCATENATE("15.",BL6,".2015")-CONCATENATE("15.",BK6,".2015"))/2,0)+CONCATENATE("15.",BK6,".2015")</f>
        <v>42262</v>
      </c>
      <c r="BP6" s="69">
        <f t="shared" ref="BP6:BP40" si="141">ROUND((CONCATENATE("15.",BN6,".2016")-CONCATENATE("15.",BM6,".2016"))/2,0)+CONCATENATE("15.",BM6,".2016")</f>
        <v>42552</v>
      </c>
      <c r="BQ6" s="70">
        <f t="shared" si="46"/>
        <v>8.8099999999999998E-2</v>
      </c>
      <c r="BR6" s="285">
        <f t="shared" si="47"/>
        <v>0.1391</v>
      </c>
      <c r="BS6" s="68">
        <f t="shared" ref="BS6:BS40" si="142">AO6+AT6+AY6</f>
        <v>410411</v>
      </c>
      <c r="BT6" s="68">
        <f t="shared" ref="BT6:BT40" si="143">AJ6-AO6+BD6+BI6</f>
        <v>0</v>
      </c>
      <c r="BU6" s="353">
        <v>0.25</v>
      </c>
      <c r="BV6" s="71">
        <f t="shared" ref="BV6:BV40" si="144">ROUND(BJ6/BU6,0)</f>
        <v>1641644</v>
      </c>
      <c r="BW6" s="72"/>
      <c r="BX6" s="73">
        <f t="shared" si="51"/>
        <v>3.9577399241248409E-2</v>
      </c>
      <c r="BY6" s="73">
        <f t="shared" si="52"/>
        <v>5.8039380036110144E-2</v>
      </c>
      <c r="BZ6" s="73">
        <f t="shared" si="53"/>
        <v>0.59989863819439537</v>
      </c>
      <c r="CA6" s="73">
        <f t="shared" si="54"/>
        <v>4.7888579984454609E-2</v>
      </c>
      <c r="CB6" s="73">
        <f t="shared" si="55"/>
        <v>2.5725431335904738E-2</v>
      </c>
      <c r="CD6" s="354"/>
      <c r="CE6" s="354"/>
      <c r="CF6" s="354"/>
      <c r="CG6" s="354"/>
      <c r="CH6" s="354"/>
      <c r="CI6" s="354"/>
      <c r="CJ6" s="354"/>
      <c r="CK6" s="354"/>
      <c r="CL6" s="354"/>
      <c r="CM6" s="354"/>
      <c r="CN6" s="354"/>
      <c r="CO6" s="354"/>
      <c r="CP6" s="354">
        <f>123.12+11.669</f>
        <v>134.78900000000002</v>
      </c>
      <c r="CQ6" s="354"/>
      <c r="CR6" s="354"/>
      <c r="CS6" s="354"/>
      <c r="CT6" s="354"/>
      <c r="CU6" s="354"/>
      <c r="CV6" s="354"/>
      <c r="CW6" s="354"/>
      <c r="CX6" s="354"/>
      <c r="CY6" s="354"/>
      <c r="CZ6" s="354"/>
      <c r="DA6" s="354"/>
      <c r="DB6" s="354"/>
      <c r="DC6" s="354"/>
      <c r="DD6" s="95"/>
      <c r="DE6" s="45"/>
      <c r="DF6" s="76"/>
      <c r="DG6" s="77">
        <f t="shared" ref="DG6:DG40" si="145">IF(DF6=0,0,DF6/BJ6-1)</f>
        <v>0</v>
      </c>
      <c r="DH6" s="68">
        <f t="shared" ref="DH6:DH40" si="146">IF(DF6=0,0,BJ6-DF6)</f>
        <v>0</v>
      </c>
      <c r="DI6" s="78"/>
      <c r="DJ6" s="189"/>
      <c r="DL6" s="146">
        <f t="shared" si="58"/>
        <v>0</v>
      </c>
      <c r="DM6" s="146">
        <f t="shared" ref="DM6:DM40" si="147">CP6</f>
        <v>134.78900000000002</v>
      </c>
      <c r="DN6" s="146">
        <f t="shared" si="60"/>
        <v>0</v>
      </c>
      <c r="DO6" s="146">
        <f t="shared" si="61"/>
        <v>0</v>
      </c>
      <c r="DP6" s="146">
        <f t="shared" si="62"/>
        <v>0</v>
      </c>
      <c r="DQ6" s="146">
        <f t="shared" si="63"/>
        <v>0</v>
      </c>
      <c r="DR6" s="146">
        <f t="shared" si="64"/>
        <v>0</v>
      </c>
      <c r="DS6" s="146">
        <f t="shared" si="65"/>
        <v>0</v>
      </c>
      <c r="DT6" s="146">
        <f t="shared" si="66"/>
        <v>0</v>
      </c>
      <c r="DU6" s="146">
        <f t="shared" si="67"/>
        <v>0</v>
      </c>
      <c r="DV6" s="146">
        <f t="shared" si="68"/>
        <v>0</v>
      </c>
      <c r="DW6" s="181">
        <f t="shared" si="69"/>
        <v>0</v>
      </c>
      <c r="DY6" s="183">
        <f>$CD6*VLOOKUP($G6,'Рецепты а.б.'!$B$5:$AW$50,DY$67,0)</f>
        <v>0</v>
      </c>
      <c r="DZ6" s="75">
        <f>$CD6*VLOOKUP($G6,'Рецепты а.б.'!$B$5:$AW$50,DZ$67,0)</f>
        <v>0</v>
      </c>
      <c r="EA6" s="75">
        <f>$CD6*VLOOKUP($G6,'Рецепты а.б.'!$B$5:$AW$50,EA$67,0)</f>
        <v>0</v>
      </c>
      <c r="EB6" s="75">
        <f>$CD6*VLOOKUP($G6,'Рецепты а.б.'!$B$5:$AW$50,EB$67,0)</f>
        <v>0</v>
      </c>
      <c r="EC6" s="75">
        <f>$CD6*VLOOKUP($G6,'Рецепты а.б.'!$B$5:$AW$50,EC$67,0)</f>
        <v>0</v>
      </c>
      <c r="ED6" s="75">
        <f>$CD6*VLOOKUP($G6,'Рецепты а.б.'!$B$5:$AW$50,ED$67,0)</f>
        <v>0</v>
      </c>
      <c r="EE6" s="75">
        <f>$CD6*VLOOKUP($G6,'Рецепты а.б.'!$B$5:$AW$50,EE$67,0)</f>
        <v>0</v>
      </c>
      <c r="EF6" s="75">
        <f>$CF6*VLOOKUP($G6,'Рецепты а.б.'!$B$5:$AW$50,EF$67,0)</f>
        <v>0</v>
      </c>
      <c r="EG6" s="75">
        <f>$CF6*VLOOKUP($G6,'Рецепты а.б.'!$B$5:$AW$50,EG$67,0)</f>
        <v>0</v>
      </c>
      <c r="EH6" s="75">
        <f>$CF6*VLOOKUP($G6,'Рецепты а.б.'!$B$5:$AW$50,EH$67,0)</f>
        <v>0</v>
      </c>
      <c r="EI6" s="75">
        <f>$CF6*VLOOKUP($G6,'Рецепты а.б.'!$B$5:$AW$50,EI$67,0)</f>
        <v>0</v>
      </c>
      <c r="EJ6" s="75">
        <f>$CF6*VLOOKUP($G6,'Рецепты а.б.'!$B$5:$AW$50,EJ$67,0)</f>
        <v>0</v>
      </c>
      <c r="EK6" s="75">
        <f>$CF6*VLOOKUP($G6,'Рецепты а.б.'!$B$5:$AW$50,EK$67,0)</f>
        <v>0</v>
      </c>
      <c r="EL6" s="75">
        <f>$CF6*VLOOKUP($G6,'Рецепты а.б.'!$B$5:$AW$50,EL$67,0)</f>
        <v>0</v>
      </c>
      <c r="EM6" s="75">
        <f>$CG6*VLOOKUP($G6,'Рецепты а.б.'!$B$5:$AW$50,EM$67,0)</f>
        <v>0</v>
      </c>
      <c r="EN6" s="75">
        <f>$CG6*VLOOKUP($G6,'Рецепты а.б.'!$B$5:$AW$50,EN$67,0)</f>
        <v>0</v>
      </c>
      <c r="EO6" s="75">
        <f>$CG6*VLOOKUP($G6,'Рецепты а.б.'!$B$5:$AW$50,EO$67,0)</f>
        <v>0</v>
      </c>
      <c r="EP6" s="75">
        <f>$CG6*VLOOKUP($G6,'Рецепты а.б.'!$B$5:$AW$50,EP$67,0)</f>
        <v>0</v>
      </c>
      <c r="EQ6" s="75">
        <f>$CG6*VLOOKUP($G6,'Рецепты а.б.'!$B$5:$AW$50,EQ$67,0)</f>
        <v>0</v>
      </c>
      <c r="ER6" s="75">
        <f>$CG6*VLOOKUP($G6,'Рецепты а.б.'!$B$5:$AW$50,ER$67,0)</f>
        <v>0</v>
      </c>
      <c r="ES6" s="75">
        <f>$CG6*VLOOKUP($G6,'Рецепты а.б.'!$B$5:$AW$50,ES$67,0)</f>
        <v>0</v>
      </c>
      <c r="ET6" s="75">
        <f>$CH6*VLOOKUP($G6,'Рецепты а.б.'!$B$5:$AW$50,ET$67,0)</f>
        <v>0</v>
      </c>
      <c r="EU6" s="75">
        <f>$CH6*VLOOKUP($G6,'Рецепты а.б.'!$B$5:$AW$50,EU$67,0)</f>
        <v>0</v>
      </c>
      <c r="EV6" s="75">
        <f>$CH6*VLOOKUP($G6,'Рецепты а.б.'!$B$5:$AW$50,EV$67,0)</f>
        <v>0</v>
      </c>
      <c r="EW6" s="75">
        <f>$CH6*VLOOKUP($G6,'Рецепты а.б.'!$B$5:$AW$50,EW$67,0)</f>
        <v>0</v>
      </c>
      <c r="EX6" s="75">
        <f>$CH6*VLOOKUP($G6,'Рецепты а.б.'!$B$5:$AW$50,EX$67,0)</f>
        <v>0</v>
      </c>
      <c r="EY6" s="75">
        <f>$CI6*VLOOKUP($G6,'Рецепты а.б.'!$B$5:$AW$50,EY$67,0)</f>
        <v>0</v>
      </c>
      <c r="EZ6" s="75">
        <f>$CI6*VLOOKUP($G6,'Рецепты а.б.'!$B$5:$AW$50,EZ$67,0)</f>
        <v>0</v>
      </c>
      <c r="FA6" s="75">
        <f>$CI6*VLOOKUP($G6,'Рецепты а.б.'!$B$5:$AW$50,FA$67,0)</f>
        <v>0</v>
      </c>
      <c r="FB6" s="75">
        <f>$CI6*VLOOKUP($G6,'Рецепты а.б.'!$B$5:$AW$50,FB$67,0)</f>
        <v>0</v>
      </c>
      <c r="FC6" s="75">
        <f>$CI6*VLOOKUP($G6,'Рецепты а.б.'!$B$5:$AW$50,FC$67,0)</f>
        <v>0</v>
      </c>
      <c r="FD6" s="75">
        <f>$CI6*VLOOKUP($G6,'Рецепты а.б.'!$B$5:$AW$50,FD$67,0)</f>
        <v>0</v>
      </c>
      <c r="FE6" s="75">
        <f>$CJ6*VLOOKUP($G6,'Рецепты а.б.'!$B$5:$AW$50,FE$67,0)</f>
        <v>0</v>
      </c>
      <c r="FF6" s="75">
        <f>$CJ6*VLOOKUP($G6,'Рецепты а.б.'!$B$5:$AW$50,FF$67,0)</f>
        <v>0</v>
      </c>
      <c r="FG6" s="75">
        <f>$CE6*VLOOKUP($G6,'Рецепты а.б.'!$B$5:$AW$50,FG$67,0)</f>
        <v>0</v>
      </c>
      <c r="FH6" s="75">
        <f>$CE6*VLOOKUP($G6,'Рецепты а.б.'!$B$5:$AW$50,FH$67,0)</f>
        <v>0</v>
      </c>
      <c r="FI6" s="75">
        <f>$CE6*VLOOKUP($G6,'Рецепты а.б.'!$B$5:$AW$50,FI$67,0)</f>
        <v>0</v>
      </c>
      <c r="FJ6" s="75">
        <f>$CE6*VLOOKUP($G6,'Рецепты а.б.'!$B$5:$AW$50,FJ$67,0)</f>
        <v>0</v>
      </c>
      <c r="FK6" s="75">
        <f>$CE6*VLOOKUP($G6,'Рецепты а.б.'!$B$5:$AW$50,FK$67,0)</f>
        <v>0</v>
      </c>
      <c r="FL6" s="75">
        <f>$CE6*VLOOKUP($G6,'Рецепты а.б.'!$B$5:$AW$50,FL$67,0)</f>
        <v>0</v>
      </c>
      <c r="FM6" s="75">
        <f>$CE6*VLOOKUP($G6,'Рецепты а.б.'!$B$5:$AW$50,FM$67,0)</f>
        <v>0</v>
      </c>
      <c r="FN6" s="75">
        <f>$CE6*VLOOKUP($G6,'Рецепты а.б.'!$B$5:$AW$50,FN$67,0)</f>
        <v>0</v>
      </c>
    </row>
    <row r="7" spans="1:170" s="64" customFormat="1" hidden="1" x14ac:dyDescent="0.2">
      <c r="A7" s="127">
        <f t="shared" si="105"/>
        <v>4</v>
      </c>
      <c r="B7" s="344"/>
      <c r="C7" s="344"/>
      <c r="D7" s="344"/>
      <c r="E7" s="420" t="s">
        <v>331</v>
      </c>
      <c r="F7" s="345"/>
      <c r="G7" s="346"/>
      <c r="H7" s="419" t="s">
        <v>206</v>
      </c>
      <c r="I7" s="347"/>
      <c r="J7" s="348"/>
      <c r="K7" s="348"/>
      <c r="L7" s="348"/>
      <c r="M7" s="348"/>
      <c r="N7" s="348"/>
      <c r="O7" s="65">
        <f t="shared" ref="O7" si="148">SUM(J7:N7)</f>
        <v>0</v>
      </c>
      <c r="P7" s="342">
        <f t="shared" si="5"/>
        <v>0</v>
      </c>
      <c r="Q7" s="342"/>
      <c r="R7" s="342"/>
      <c r="S7" s="342"/>
      <c r="T7" s="65">
        <f t="shared" ref="T7" si="149">SUM(P7:S7)</f>
        <v>0</v>
      </c>
      <c r="U7" s="66">
        <f t="shared" ref="U7:U29" si="150">ROUND(VLOOKUP($H7,рем_содер,6,0)*P7,0)</f>
        <v>0</v>
      </c>
      <c r="V7" s="66">
        <f t="shared" ref="V7:V29" si="151">ROUND(VLOOKUP($H7,рем_содер,6,0)*Q7,0)</f>
        <v>0</v>
      </c>
      <c r="W7" s="349">
        <f t="shared" ref="W7:W29" si="152">ROUND(VLOOKUP(H7,рем_содер,7,0)*(P7+Q7+U7+V7),0)</f>
        <v>0</v>
      </c>
      <c r="X7" s="350"/>
      <c r="Y7" s="350"/>
      <c r="Z7" s="351"/>
      <c r="AA7" s="66">
        <f t="shared" ref="AA7:AA29" si="153">ROUND(VLOOKUP(H7,рем_содер,8,0)*SUM(P7,U7,X7),0)</f>
        <v>0</v>
      </c>
      <c r="AB7" s="66">
        <f t="shared" ref="AB7:AB29" si="154">ROUND(VLOOKUP(H7,рем_содер,8,0)*SUM(Q7,V7,Y7),0)</f>
        <v>0</v>
      </c>
      <c r="AC7" s="66">
        <f t="shared" ref="AC7:AC29" si="155">ROUND(VLOOKUP(H7,рем_содер,8,0)*R7,0)</f>
        <v>0</v>
      </c>
      <c r="AD7" s="66">
        <f t="shared" ref="AD7:AD29" si="156">ROUND(VLOOKUP(H7,рем_содер,8,0)*SUM(S7,W7,Z7),0)</f>
        <v>0</v>
      </c>
      <c r="AE7" s="66">
        <f t="shared" si="14"/>
        <v>0</v>
      </c>
      <c r="AF7" s="66">
        <f t="shared" si="15"/>
        <v>0</v>
      </c>
      <c r="AG7" s="66">
        <f t="shared" si="16"/>
        <v>0</v>
      </c>
      <c r="AH7" s="66">
        <f t="shared" si="17"/>
        <v>0</v>
      </c>
      <c r="AI7" s="66">
        <f t="shared" si="18"/>
        <v>0</v>
      </c>
      <c r="AJ7" s="66">
        <f t="shared" ref="AJ7:AJ16" si="157">SUM(AF7:AI7)</f>
        <v>0</v>
      </c>
      <c r="AK7" s="67">
        <f t="shared" ref="AK7:AK29" si="158">AF7</f>
        <v>0</v>
      </c>
      <c r="AL7" s="67">
        <f t="shared" ref="AL7:AL29" si="159">AG7</f>
        <v>0</v>
      </c>
      <c r="AM7" s="67">
        <f t="shared" ref="AM7:AM29" si="160">AH7</f>
        <v>0</v>
      </c>
      <c r="AN7" s="67">
        <f t="shared" si="23"/>
        <v>0</v>
      </c>
      <c r="AO7" s="66">
        <f t="shared" ref="AO7:AO15" si="161">SUM(AK7:AN7)</f>
        <v>0</v>
      </c>
      <c r="AP7" s="66">
        <f t="shared" ref="AP7:AP29" si="162">ROUND($BQ7*AK7,0)</f>
        <v>0</v>
      </c>
      <c r="AQ7" s="66">
        <f t="shared" ref="AQ7:AQ29" si="163">ROUND($BQ7*AL7,0)</f>
        <v>0</v>
      </c>
      <c r="AR7" s="66">
        <f t="shared" ref="AR7:AR29" si="164">ROUND($BQ7*AM7,0)</f>
        <v>0</v>
      </c>
      <c r="AS7" s="66">
        <f t="shared" ref="AS7:AS29" si="165">ROUND($BQ7*AN7,0)</f>
        <v>0</v>
      </c>
      <c r="AT7" s="66">
        <f t="shared" ref="AT7:AT29" si="166">SUM(AP7:AS7)</f>
        <v>0</v>
      </c>
      <c r="AU7" s="66">
        <f t="shared" ref="AU7:AU29" si="167">ROUND(18%*SUM(AK7,AP7),0)</f>
        <v>0</v>
      </c>
      <c r="AV7" s="66">
        <f t="shared" ref="AV7:AV29" si="168">ROUND(18%*SUM(AL7,AQ7),0)</f>
        <v>0</v>
      </c>
      <c r="AW7" s="66">
        <f t="shared" ref="AW7:AW29" si="169">ROUND(18%*SUM(AM7,AR7),0)</f>
        <v>0</v>
      </c>
      <c r="AX7" s="66">
        <f t="shared" ref="AX7:AX29" si="170">ROUND(18%*SUM(AN7,AS7),0)</f>
        <v>0</v>
      </c>
      <c r="AY7" s="66">
        <f t="shared" ref="AY7:AY29" si="171">SUM(AU7:AX7)</f>
        <v>0</v>
      </c>
      <c r="AZ7" s="66">
        <f t="shared" ref="AZ7:AZ29" si="172">ROUND($BR7*(AF7-AK7),0)</f>
        <v>0</v>
      </c>
      <c r="BA7" s="66">
        <f t="shared" ref="BA7:BA29" si="173">ROUND($BR7*(AG7-AL7),0)</f>
        <v>0</v>
      </c>
      <c r="BB7" s="66">
        <f t="shared" ref="BB7:BB29" si="174">ROUND($BR7*(AH7-AM7),0)</f>
        <v>0</v>
      </c>
      <c r="BC7" s="66">
        <f t="shared" ref="BC7:BC29" si="175">ROUND($BR7*(AI7-AN7),0)</f>
        <v>0</v>
      </c>
      <c r="BD7" s="66">
        <f t="shared" ref="BD7:BD29" si="176">SUM(AZ7:BC7)</f>
        <v>0</v>
      </c>
      <c r="BE7" s="66">
        <f t="shared" ref="BE7:BE29" si="177">ROUND(18%*(AF7-AK7+AZ7),0)</f>
        <v>0</v>
      </c>
      <c r="BF7" s="66">
        <f t="shared" ref="BF7:BF29" si="178">ROUND(18%*(AG7-AL7+BA7),0)</f>
        <v>0</v>
      </c>
      <c r="BG7" s="66">
        <f t="shared" ref="BG7:BG29" si="179">ROUND(18%*(AH7-AM7+BB7),0)</f>
        <v>0</v>
      </c>
      <c r="BH7" s="66">
        <f t="shared" ref="BH7:BH29" si="180">ROUND(18%*(AI7-AN7+BC7),0)</f>
        <v>0</v>
      </c>
      <c r="BI7" s="66">
        <f t="shared" ref="BI7:BI29" si="181">SUM(BE7:BH7)</f>
        <v>0</v>
      </c>
      <c r="BJ7" s="68">
        <f t="shared" ref="BJ7:BJ29" si="182">SUM(AJ7,AT7,AY7,BD7,BI7)</f>
        <v>0</v>
      </c>
      <c r="BK7" s="352">
        <v>1</v>
      </c>
      <c r="BL7" s="352">
        <v>12</v>
      </c>
      <c r="BM7" s="263">
        <v>1</v>
      </c>
      <c r="BN7" s="263">
        <v>12</v>
      </c>
      <c r="BO7" s="69">
        <f t="shared" ref="BO7:BO29" si="183">ROUND((CONCATENATE("15.",BL7,".2015")-CONCATENATE("15.",BK7,".2015"))/2,0)+CONCATENATE("15.",BK7,".2015")</f>
        <v>42186</v>
      </c>
      <c r="BP7" s="69">
        <f t="shared" ref="BP7:BP29" si="184">ROUND((CONCATENATE("15.",BN7,".2016")-CONCATENATE("15.",BM7,".2016"))/2,0)+CONCATENATE("15.",BM7,".2016")</f>
        <v>42552</v>
      </c>
      <c r="BQ7" s="70">
        <f t="shared" si="46"/>
        <v>6.54E-2</v>
      </c>
      <c r="BR7" s="285">
        <f t="shared" si="47"/>
        <v>0.1391</v>
      </c>
      <c r="BS7" s="68">
        <f t="shared" ref="BS7:BS29" si="185">AO7+AT7+AY7</f>
        <v>0</v>
      </c>
      <c r="BT7" s="68">
        <f t="shared" ref="BT7:BT29" si="186">AJ7-AO7+BD7+BI7</f>
        <v>0</v>
      </c>
      <c r="BU7" s="353"/>
      <c r="BV7" s="71" t="e">
        <f t="shared" ref="BV7:BV29" si="187">ROUND(BJ7/BU7,0)</f>
        <v>#DIV/0!</v>
      </c>
      <c r="BW7" s="72"/>
      <c r="BX7" s="73" t="e">
        <f t="shared" si="51"/>
        <v>#DIV/0!</v>
      </c>
      <c r="BY7" s="73" t="e">
        <f t="shared" si="52"/>
        <v>#DIV/0!</v>
      </c>
      <c r="BZ7" s="73" t="e">
        <f t="shared" si="53"/>
        <v>#DIV/0!</v>
      </c>
      <c r="CA7" s="73" t="e">
        <f t="shared" si="54"/>
        <v>#DIV/0!</v>
      </c>
      <c r="CB7" s="73" t="e">
        <f t="shared" si="55"/>
        <v>#DIV/0!</v>
      </c>
      <c r="CD7" s="354"/>
      <c r="CE7" s="354"/>
      <c r="CF7" s="354"/>
      <c r="CG7" s="354"/>
      <c r="CH7" s="354"/>
      <c r="CI7" s="354"/>
      <c r="CJ7" s="354"/>
      <c r="CK7" s="354"/>
      <c r="CL7" s="354"/>
      <c r="CM7" s="354"/>
      <c r="CN7" s="354"/>
      <c r="CO7" s="354"/>
      <c r="CP7" s="354"/>
      <c r="CQ7" s="354"/>
      <c r="CR7" s="354"/>
      <c r="CS7" s="354"/>
      <c r="CT7" s="354"/>
      <c r="CU7" s="354"/>
      <c r="CV7" s="354"/>
      <c r="CW7" s="354"/>
      <c r="CX7" s="354"/>
      <c r="CY7" s="354"/>
      <c r="CZ7" s="354"/>
      <c r="DA7" s="354"/>
      <c r="DB7" s="354"/>
      <c r="DC7" s="354"/>
      <c r="DD7" s="95"/>
      <c r="DE7" s="45"/>
      <c r="DF7" s="76"/>
      <c r="DG7" s="77">
        <f t="shared" ref="DG7:DG29" si="188">IF(DF7=0,0,DF7/BJ7-1)</f>
        <v>0</v>
      </c>
      <c r="DH7" s="68">
        <f t="shared" ref="DH7:DH29" si="189">IF(DF7=0,0,BJ7-DF7)</f>
        <v>0</v>
      </c>
      <c r="DI7" s="78"/>
      <c r="DJ7" s="189"/>
      <c r="DL7" s="146">
        <f t="shared" si="58"/>
        <v>0</v>
      </c>
      <c r="DM7" s="146">
        <f t="shared" ref="DM7:DM29" si="190">CP7</f>
        <v>0</v>
      </c>
      <c r="DN7" s="146">
        <f t="shared" si="60"/>
        <v>0</v>
      </c>
      <c r="DO7" s="146">
        <f t="shared" si="61"/>
        <v>0</v>
      </c>
      <c r="DP7" s="146">
        <f t="shared" si="62"/>
        <v>0</v>
      </c>
      <c r="DQ7" s="146">
        <f t="shared" si="63"/>
        <v>0</v>
      </c>
      <c r="DR7" s="146">
        <f t="shared" si="64"/>
        <v>0</v>
      </c>
      <c r="DS7" s="146">
        <f t="shared" si="65"/>
        <v>0</v>
      </c>
      <c r="DT7" s="146">
        <f t="shared" si="66"/>
        <v>0</v>
      </c>
      <c r="DU7" s="146">
        <f t="shared" si="67"/>
        <v>0</v>
      </c>
      <c r="DV7" s="146">
        <f t="shared" si="68"/>
        <v>0</v>
      </c>
      <c r="DW7" s="181">
        <f t="shared" si="69"/>
        <v>0</v>
      </c>
      <c r="DY7" s="183" t="e">
        <f>$CD7*VLOOKUP($G7,'Рецепты а.б.'!$B$5:$AW$50,DY$67,0)</f>
        <v>#N/A</v>
      </c>
      <c r="DZ7" s="75" t="e">
        <f>$CD7*VLOOKUP($G7,'Рецепты а.б.'!$B$5:$AW$50,DZ$67,0)</f>
        <v>#N/A</v>
      </c>
      <c r="EA7" s="75" t="e">
        <f>$CD7*VLOOKUP($G7,'Рецепты а.б.'!$B$5:$AW$50,EA$67,0)</f>
        <v>#N/A</v>
      </c>
      <c r="EB7" s="75" t="e">
        <f>$CD7*VLOOKUP($G7,'Рецепты а.б.'!$B$5:$AW$50,EB$67,0)</f>
        <v>#N/A</v>
      </c>
      <c r="EC7" s="75" t="e">
        <f>$CD7*VLOOKUP($G7,'Рецепты а.б.'!$B$5:$AW$50,EC$67,0)</f>
        <v>#N/A</v>
      </c>
      <c r="ED7" s="75" t="e">
        <f>$CD7*VLOOKUP($G7,'Рецепты а.б.'!$B$5:$AW$50,ED$67,0)</f>
        <v>#N/A</v>
      </c>
      <c r="EE7" s="75" t="e">
        <f>$CD7*VLOOKUP($G7,'Рецепты а.б.'!$B$5:$AW$50,EE$67,0)</f>
        <v>#N/A</v>
      </c>
      <c r="EF7" s="75" t="e">
        <f>$CF7*VLOOKUP($G7,'Рецепты а.б.'!$B$5:$AW$50,EF$67,0)</f>
        <v>#N/A</v>
      </c>
      <c r="EG7" s="75" t="e">
        <f>$CF7*VLOOKUP($G7,'Рецепты а.б.'!$B$5:$AW$50,EG$67,0)</f>
        <v>#N/A</v>
      </c>
      <c r="EH7" s="75" t="e">
        <f>$CF7*VLOOKUP($G7,'Рецепты а.б.'!$B$5:$AW$50,EH$67,0)</f>
        <v>#N/A</v>
      </c>
      <c r="EI7" s="75" t="e">
        <f>$CF7*VLOOKUP($G7,'Рецепты а.б.'!$B$5:$AW$50,EI$67,0)</f>
        <v>#N/A</v>
      </c>
      <c r="EJ7" s="75" t="e">
        <f>$CF7*VLOOKUP($G7,'Рецепты а.б.'!$B$5:$AW$50,EJ$67,0)</f>
        <v>#N/A</v>
      </c>
      <c r="EK7" s="75" t="e">
        <f>$CF7*VLOOKUP($G7,'Рецепты а.б.'!$B$5:$AW$50,EK$67,0)</f>
        <v>#N/A</v>
      </c>
      <c r="EL7" s="75" t="e">
        <f>$CF7*VLOOKUP($G7,'Рецепты а.б.'!$B$5:$AW$50,EL$67,0)</f>
        <v>#N/A</v>
      </c>
      <c r="EM7" s="75" t="e">
        <f>$CG7*VLOOKUP($G7,'Рецепты а.б.'!$B$5:$AW$50,EM$67,0)</f>
        <v>#N/A</v>
      </c>
      <c r="EN7" s="75" t="e">
        <f>$CG7*VLOOKUP($G7,'Рецепты а.б.'!$B$5:$AW$50,EN$67,0)</f>
        <v>#N/A</v>
      </c>
      <c r="EO7" s="75" t="e">
        <f>$CG7*VLOOKUP($G7,'Рецепты а.б.'!$B$5:$AW$50,EO$67,0)</f>
        <v>#N/A</v>
      </c>
      <c r="EP7" s="75" t="e">
        <f>$CG7*VLOOKUP($G7,'Рецепты а.б.'!$B$5:$AW$50,EP$67,0)</f>
        <v>#N/A</v>
      </c>
      <c r="EQ7" s="75" t="e">
        <f>$CG7*VLOOKUP($G7,'Рецепты а.б.'!$B$5:$AW$50,EQ$67,0)</f>
        <v>#N/A</v>
      </c>
      <c r="ER7" s="75" t="e">
        <f>$CG7*VLOOKUP($G7,'Рецепты а.б.'!$B$5:$AW$50,ER$67,0)</f>
        <v>#N/A</v>
      </c>
      <c r="ES7" s="75" t="e">
        <f>$CG7*VLOOKUP($G7,'Рецепты а.б.'!$B$5:$AW$50,ES$67,0)</f>
        <v>#N/A</v>
      </c>
      <c r="ET7" s="75" t="e">
        <f>$CH7*VLOOKUP($G7,'Рецепты а.б.'!$B$5:$AW$50,ET$67,0)</f>
        <v>#N/A</v>
      </c>
      <c r="EU7" s="75" t="e">
        <f>$CH7*VLOOKUP($G7,'Рецепты а.б.'!$B$5:$AW$50,EU$67,0)</f>
        <v>#N/A</v>
      </c>
      <c r="EV7" s="75" t="e">
        <f>$CH7*VLOOKUP($G7,'Рецепты а.б.'!$B$5:$AW$50,EV$67,0)</f>
        <v>#N/A</v>
      </c>
      <c r="EW7" s="75" t="e">
        <f>$CH7*VLOOKUP($G7,'Рецепты а.б.'!$B$5:$AW$50,EW$67,0)</f>
        <v>#N/A</v>
      </c>
      <c r="EX7" s="75" t="e">
        <f>$CH7*VLOOKUP($G7,'Рецепты а.б.'!$B$5:$AW$50,EX$67,0)</f>
        <v>#N/A</v>
      </c>
      <c r="EY7" s="75" t="e">
        <f>$CI7*VLOOKUP($G7,'Рецепты а.б.'!$B$5:$AW$50,EY$67,0)</f>
        <v>#N/A</v>
      </c>
      <c r="EZ7" s="75" t="e">
        <f>$CI7*VLOOKUP($G7,'Рецепты а.б.'!$B$5:$AW$50,EZ$67,0)</f>
        <v>#N/A</v>
      </c>
      <c r="FA7" s="75" t="e">
        <f>$CI7*VLOOKUP($G7,'Рецепты а.б.'!$B$5:$AW$50,FA$67,0)</f>
        <v>#N/A</v>
      </c>
      <c r="FB7" s="75" t="e">
        <f>$CI7*VLOOKUP($G7,'Рецепты а.б.'!$B$5:$AW$50,FB$67,0)</f>
        <v>#N/A</v>
      </c>
      <c r="FC7" s="75" t="e">
        <f>$CI7*VLOOKUP($G7,'Рецепты а.б.'!$B$5:$AW$50,FC$67,0)</f>
        <v>#N/A</v>
      </c>
      <c r="FD7" s="75" t="e">
        <f>$CI7*VLOOKUP($G7,'Рецепты а.б.'!$B$5:$AW$50,FD$67,0)</f>
        <v>#N/A</v>
      </c>
      <c r="FE7" s="75" t="e">
        <f>$CJ7*VLOOKUP($G7,'Рецепты а.б.'!$B$5:$AW$50,FE$67,0)</f>
        <v>#N/A</v>
      </c>
      <c r="FF7" s="75" t="e">
        <f>$CJ7*VLOOKUP($G7,'Рецепты а.б.'!$B$5:$AW$50,FF$67,0)</f>
        <v>#N/A</v>
      </c>
      <c r="FG7" s="75" t="e">
        <f>$CE7*VLOOKUP($G7,'Рецепты а.б.'!$B$5:$AW$50,FG$67,0)</f>
        <v>#N/A</v>
      </c>
      <c r="FH7" s="75" t="e">
        <f>$CE7*VLOOKUP($G7,'Рецепты а.б.'!$B$5:$AW$50,FH$67,0)</f>
        <v>#N/A</v>
      </c>
      <c r="FI7" s="75" t="e">
        <f>$CE7*VLOOKUP($G7,'Рецепты а.б.'!$B$5:$AW$50,FI$67,0)</f>
        <v>#N/A</v>
      </c>
      <c r="FJ7" s="75" t="e">
        <f>$CE7*VLOOKUP($G7,'Рецепты а.б.'!$B$5:$AW$50,FJ$67,0)</f>
        <v>#N/A</v>
      </c>
      <c r="FK7" s="75" t="e">
        <f>$CE7*VLOOKUP($G7,'Рецепты а.б.'!$B$5:$AW$50,FK$67,0)</f>
        <v>#N/A</v>
      </c>
      <c r="FL7" s="75" t="e">
        <f>$CE7*VLOOKUP($G7,'Рецепты а.б.'!$B$5:$AW$50,FL$67,0)</f>
        <v>#N/A</v>
      </c>
      <c r="FM7" s="75" t="e">
        <f>$CE7*VLOOKUP($G7,'Рецепты а.б.'!$B$5:$AW$50,FM$67,0)</f>
        <v>#N/A</v>
      </c>
      <c r="FN7" s="75" t="e">
        <f>$CE7*VLOOKUP($G7,'Рецепты а.б.'!$B$5:$AW$50,FN$67,0)</f>
        <v>#N/A</v>
      </c>
    </row>
    <row r="8" spans="1:170" s="64" customFormat="1" hidden="1" x14ac:dyDescent="0.2">
      <c r="A8" s="127">
        <f t="shared" si="105"/>
        <v>5</v>
      </c>
      <c r="B8" s="344"/>
      <c r="C8" s="344"/>
      <c r="D8" s="344"/>
      <c r="E8" s="420" t="s">
        <v>331</v>
      </c>
      <c r="F8" s="345"/>
      <c r="G8" s="346"/>
      <c r="H8" s="419" t="s">
        <v>206</v>
      </c>
      <c r="I8" s="347"/>
      <c r="J8" s="348"/>
      <c r="K8" s="348"/>
      <c r="L8" s="348"/>
      <c r="M8" s="348"/>
      <c r="N8" s="348"/>
      <c r="O8" s="65">
        <f t="shared" ref="O8:O15" si="191">SUM(J8:N8)</f>
        <v>0</v>
      </c>
      <c r="P8" s="342">
        <f t="shared" si="5"/>
        <v>0</v>
      </c>
      <c r="Q8" s="342"/>
      <c r="R8" s="342"/>
      <c r="S8" s="342"/>
      <c r="T8" s="65">
        <f t="shared" ref="T8:T15" si="192">SUM(P8:S8)</f>
        <v>0</v>
      </c>
      <c r="U8" s="66">
        <f t="shared" si="150"/>
        <v>0</v>
      </c>
      <c r="V8" s="66">
        <f t="shared" si="151"/>
        <v>0</v>
      </c>
      <c r="W8" s="349">
        <f t="shared" si="152"/>
        <v>0</v>
      </c>
      <c r="X8" s="350"/>
      <c r="Y8" s="350"/>
      <c r="Z8" s="351"/>
      <c r="AA8" s="66">
        <f t="shared" si="153"/>
        <v>0</v>
      </c>
      <c r="AB8" s="66">
        <f t="shared" si="154"/>
        <v>0</v>
      </c>
      <c r="AC8" s="66">
        <f t="shared" si="155"/>
        <v>0</v>
      </c>
      <c r="AD8" s="66">
        <f t="shared" si="156"/>
        <v>0</v>
      </c>
      <c r="AE8" s="66">
        <f t="shared" si="14"/>
        <v>0</v>
      </c>
      <c r="AF8" s="66">
        <f t="shared" si="15"/>
        <v>0</v>
      </c>
      <c r="AG8" s="66">
        <f t="shared" si="16"/>
        <v>0</v>
      </c>
      <c r="AH8" s="66">
        <f t="shared" si="17"/>
        <v>0</v>
      </c>
      <c r="AI8" s="66">
        <f t="shared" si="18"/>
        <v>0</v>
      </c>
      <c r="AJ8" s="66">
        <f t="shared" si="157"/>
        <v>0</v>
      </c>
      <c r="AK8" s="67">
        <f t="shared" si="158"/>
        <v>0</v>
      </c>
      <c r="AL8" s="67">
        <f t="shared" si="159"/>
        <v>0</v>
      </c>
      <c r="AM8" s="67">
        <f t="shared" si="160"/>
        <v>0</v>
      </c>
      <c r="AN8" s="67">
        <f t="shared" si="23"/>
        <v>0</v>
      </c>
      <c r="AO8" s="66">
        <f t="shared" si="161"/>
        <v>0</v>
      </c>
      <c r="AP8" s="66">
        <f t="shared" si="162"/>
        <v>0</v>
      </c>
      <c r="AQ8" s="66">
        <f t="shared" si="163"/>
        <v>0</v>
      </c>
      <c r="AR8" s="66">
        <f t="shared" si="164"/>
        <v>0</v>
      </c>
      <c r="AS8" s="66">
        <f t="shared" si="165"/>
        <v>0</v>
      </c>
      <c r="AT8" s="66">
        <f t="shared" si="166"/>
        <v>0</v>
      </c>
      <c r="AU8" s="66">
        <f t="shared" si="167"/>
        <v>0</v>
      </c>
      <c r="AV8" s="66">
        <f t="shared" si="168"/>
        <v>0</v>
      </c>
      <c r="AW8" s="66">
        <f t="shared" si="169"/>
        <v>0</v>
      </c>
      <c r="AX8" s="66">
        <f t="shared" si="170"/>
        <v>0</v>
      </c>
      <c r="AY8" s="66">
        <f t="shared" si="171"/>
        <v>0</v>
      </c>
      <c r="AZ8" s="66">
        <f t="shared" si="172"/>
        <v>0</v>
      </c>
      <c r="BA8" s="66">
        <f t="shared" si="173"/>
        <v>0</v>
      </c>
      <c r="BB8" s="66">
        <f t="shared" si="174"/>
        <v>0</v>
      </c>
      <c r="BC8" s="66">
        <f t="shared" si="175"/>
        <v>0</v>
      </c>
      <c r="BD8" s="66">
        <f t="shared" si="176"/>
        <v>0</v>
      </c>
      <c r="BE8" s="66">
        <f t="shared" si="177"/>
        <v>0</v>
      </c>
      <c r="BF8" s="66">
        <f t="shared" si="178"/>
        <v>0</v>
      </c>
      <c r="BG8" s="66">
        <f t="shared" si="179"/>
        <v>0</v>
      </c>
      <c r="BH8" s="66">
        <f t="shared" si="180"/>
        <v>0</v>
      </c>
      <c r="BI8" s="66">
        <f t="shared" si="181"/>
        <v>0</v>
      </c>
      <c r="BJ8" s="68">
        <f t="shared" si="182"/>
        <v>0</v>
      </c>
      <c r="BK8" s="352">
        <v>1</v>
      </c>
      <c r="BL8" s="352">
        <v>12</v>
      </c>
      <c r="BM8" s="263">
        <v>1</v>
      </c>
      <c r="BN8" s="263">
        <v>12</v>
      </c>
      <c r="BO8" s="69">
        <f t="shared" si="183"/>
        <v>42186</v>
      </c>
      <c r="BP8" s="69">
        <f t="shared" si="184"/>
        <v>42552</v>
      </c>
      <c r="BQ8" s="70">
        <f t="shared" si="46"/>
        <v>6.54E-2</v>
      </c>
      <c r="BR8" s="285">
        <f t="shared" si="47"/>
        <v>0.1391</v>
      </c>
      <c r="BS8" s="68">
        <f t="shared" si="185"/>
        <v>0</v>
      </c>
      <c r="BT8" s="68">
        <f t="shared" si="186"/>
        <v>0</v>
      </c>
      <c r="BU8" s="353"/>
      <c r="BV8" s="71" t="e">
        <f t="shared" si="187"/>
        <v>#DIV/0!</v>
      </c>
      <c r="BW8" s="72"/>
      <c r="BX8" s="73" t="e">
        <f t="shared" si="51"/>
        <v>#DIV/0!</v>
      </c>
      <c r="BY8" s="73" t="e">
        <f t="shared" si="52"/>
        <v>#DIV/0!</v>
      </c>
      <c r="BZ8" s="73" t="e">
        <f t="shared" si="53"/>
        <v>#DIV/0!</v>
      </c>
      <c r="CA8" s="73" t="e">
        <f t="shared" si="54"/>
        <v>#DIV/0!</v>
      </c>
      <c r="CB8" s="73" t="e">
        <f t="shared" si="55"/>
        <v>#DIV/0!</v>
      </c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4"/>
      <c r="CQ8" s="354"/>
      <c r="CR8" s="354"/>
      <c r="CS8" s="354"/>
      <c r="CT8" s="354"/>
      <c r="CU8" s="354"/>
      <c r="CV8" s="354"/>
      <c r="CW8" s="354"/>
      <c r="CX8" s="354"/>
      <c r="CY8" s="354"/>
      <c r="CZ8" s="354"/>
      <c r="DA8" s="354"/>
      <c r="DB8" s="354"/>
      <c r="DC8" s="354"/>
      <c r="DD8" s="95"/>
      <c r="DE8" s="45"/>
      <c r="DF8" s="76"/>
      <c r="DG8" s="77">
        <f t="shared" si="188"/>
        <v>0</v>
      </c>
      <c r="DH8" s="68">
        <f t="shared" si="189"/>
        <v>0</v>
      </c>
      <c r="DI8" s="78"/>
      <c r="DJ8" s="189"/>
      <c r="DL8" s="146">
        <f t="shared" si="58"/>
        <v>0</v>
      </c>
      <c r="DM8" s="146">
        <f t="shared" si="190"/>
        <v>0</v>
      </c>
      <c r="DN8" s="146">
        <f t="shared" si="60"/>
        <v>0</v>
      </c>
      <c r="DO8" s="146">
        <f t="shared" si="61"/>
        <v>0</v>
      </c>
      <c r="DP8" s="146">
        <f t="shared" si="62"/>
        <v>0</v>
      </c>
      <c r="DQ8" s="146">
        <f t="shared" si="63"/>
        <v>0</v>
      </c>
      <c r="DR8" s="146">
        <f t="shared" si="64"/>
        <v>0</v>
      </c>
      <c r="DS8" s="146">
        <f t="shared" si="65"/>
        <v>0</v>
      </c>
      <c r="DT8" s="146">
        <f t="shared" si="66"/>
        <v>0</v>
      </c>
      <c r="DU8" s="146">
        <f t="shared" si="67"/>
        <v>0</v>
      </c>
      <c r="DV8" s="146">
        <f t="shared" si="68"/>
        <v>0</v>
      </c>
      <c r="DW8" s="181">
        <f t="shared" si="69"/>
        <v>0</v>
      </c>
      <c r="DY8" s="183" t="e">
        <f>$CD8*VLOOKUP($G8,'Рецепты а.б.'!$B$5:$AW$50,DY$67,0)</f>
        <v>#N/A</v>
      </c>
      <c r="DZ8" s="75" t="e">
        <f>$CD8*VLOOKUP($G8,'Рецепты а.б.'!$B$5:$AW$50,DZ$67,0)</f>
        <v>#N/A</v>
      </c>
      <c r="EA8" s="75" t="e">
        <f>$CD8*VLOOKUP($G8,'Рецепты а.б.'!$B$5:$AW$50,EA$67,0)</f>
        <v>#N/A</v>
      </c>
      <c r="EB8" s="75" t="e">
        <f>$CD8*VLOOKUP($G8,'Рецепты а.б.'!$B$5:$AW$50,EB$67,0)</f>
        <v>#N/A</v>
      </c>
      <c r="EC8" s="75" t="e">
        <f>$CD8*VLOOKUP($G8,'Рецепты а.б.'!$B$5:$AW$50,EC$67,0)</f>
        <v>#N/A</v>
      </c>
      <c r="ED8" s="75" t="e">
        <f>$CD8*VLOOKUP($G8,'Рецепты а.б.'!$B$5:$AW$50,ED$67,0)</f>
        <v>#N/A</v>
      </c>
      <c r="EE8" s="75" t="e">
        <f>$CD8*VLOOKUP($G8,'Рецепты а.б.'!$B$5:$AW$50,EE$67,0)</f>
        <v>#N/A</v>
      </c>
      <c r="EF8" s="75" t="e">
        <f>$CF8*VLOOKUP($G8,'Рецепты а.б.'!$B$5:$AW$50,EF$67,0)</f>
        <v>#N/A</v>
      </c>
      <c r="EG8" s="75" t="e">
        <f>$CF8*VLOOKUP($G8,'Рецепты а.б.'!$B$5:$AW$50,EG$67,0)</f>
        <v>#N/A</v>
      </c>
      <c r="EH8" s="75" t="e">
        <f>$CF8*VLOOKUP($G8,'Рецепты а.б.'!$B$5:$AW$50,EH$67,0)</f>
        <v>#N/A</v>
      </c>
      <c r="EI8" s="75" t="e">
        <f>$CF8*VLOOKUP($G8,'Рецепты а.б.'!$B$5:$AW$50,EI$67,0)</f>
        <v>#N/A</v>
      </c>
      <c r="EJ8" s="75" t="e">
        <f>$CF8*VLOOKUP($G8,'Рецепты а.б.'!$B$5:$AW$50,EJ$67,0)</f>
        <v>#N/A</v>
      </c>
      <c r="EK8" s="75" t="e">
        <f>$CF8*VLOOKUP($G8,'Рецепты а.б.'!$B$5:$AW$50,EK$67,0)</f>
        <v>#N/A</v>
      </c>
      <c r="EL8" s="75" t="e">
        <f>$CF8*VLOOKUP($G8,'Рецепты а.б.'!$B$5:$AW$50,EL$67,0)</f>
        <v>#N/A</v>
      </c>
      <c r="EM8" s="75" t="e">
        <f>$CG8*VLOOKUP($G8,'Рецепты а.б.'!$B$5:$AW$50,EM$67,0)</f>
        <v>#N/A</v>
      </c>
      <c r="EN8" s="75" t="e">
        <f>$CG8*VLOOKUP($G8,'Рецепты а.б.'!$B$5:$AW$50,EN$67,0)</f>
        <v>#N/A</v>
      </c>
      <c r="EO8" s="75" t="e">
        <f>$CG8*VLOOKUP($G8,'Рецепты а.б.'!$B$5:$AW$50,EO$67,0)</f>
        <v>#N/A</v>
      </c>
      <c r="EP8" s="75" t="e">
        <f>$CG8*VLOOKUP($G8,'Рецепты а.б.'!$B$5:$AW$50,EP$67,0)</f>
        <v>#N/A</v>
      </c>
      <c r="EQ8" s="75" t="e">
        <f>$CG8*VLOOKUP($G8,'Рецепты а.б.'!$B$5:$AW$50,EQ$67,0)</f>
        <v>#N/A</v>
      </c>
      <c r="ER8" s="75" t="e">
        <f>$CG8*VLOOKUP($G8,'Рецепты а.б.'!$B$5:$AW$50,ER$67,0)</f>
        <v>#N/A</v>
      </c>
      <c r="ES8" s="75" t="e">
        <f>$CG8*VLOOKUP($G8,'Рецепты а.б.'!$B$5:$AW$50,ES$67,0)</f>
        <v>#N/A</v>
      </c>
      <c r="ET8" s="75" t="e">
        <f>$CH8*VLOOKUP($G8,'Рецепты а.б.'!$B$5:$AW$50,ET$67,0)</f>
        <v>#N/A</v>
      </c>
      <c r="EU8" s="75" t="e">
        <f>$CH8*VLOOKUP($G8,'Рецепты а.б.'!$B$5:$AW$50,EU$67,0)</f>
        <v>#N/A</v>
      </c>
      <c r="EV8" s="75" t="e">
        <f>$CH8*VLOOKUP($G8,'Рецепты а.б.'!$B$5:$AW$50,EV$67,0)</f>
        <v>#N/A</v>
      </c>
      <c r="EW8" s="75" t="e">
        <f>$CH8*VLOOKUP($G8,'Рецепты а.б.'!$B$5:$AW$50,EW$67,0)</f>
        <v>#N/A</v>
      </c>
      <c r="EX8" s="75" t="e">
        <f>$CH8*VLOOKUP($G8,'Рецепты а.б.'!$B$5:$AW$50,EX$67,0)</f>
        <v>#N/A</v>
      </c>
      <c r="EY8" s="75" t="e">
        <f>$CI8*VLOOKUP($G8,'Рецепты а.б.'!$B$5:$AW$50,EY$67,0)</f>
        <v>#N/A</v>
      </c>
      <c r="EZ8" s="75" t="e">
        <f>$CI8*VLOOKUP($G8,'Рецепты а.б.'!$B$5:$AW$50,EZ$67,0)</f>
        <v>#N/A</v>
      </c>
      <c r="FA8" s="75" t="e">
        <f>$CI8*VLOOKUP($G8,'Рецепты а.б.'!$B$5:$AW$50,FA$67,0)</f>
        <v>#N/A</v>
      </c>
      <c r="FB8" s="75" t="e">
        <f>$CI8*VLOOKUP($G8,'Рецепты а.б.'!$B$5:$AW$50,FB$67,0)</f>
        <v>#N/A</v>
      </c>
      <c r="FC8" s="75" t="e">
        <f>$CI8*VLOOKUP($G8,'Рецепты а.б.'!$B$5:$AW$50,FC$67,0)</f>
        <v>#N/A</v>
      </c>
      <c r="FD8" s="75" t="e">
        <f>$CI8*VLOOKUP($G8,'Рецепты а.б.'!$B$5:$AW$50,FD$67,0)</f>
        <v>#N/A</v>
      </c>
      <c r="FE8" s="75" t="e">
        <f>$CJ8*VLOOKUP($G8,'Рецепты а.б.'!$B$5:$AW$50,FE$67,0)</f>
        <v>#N/A</v>
      </c>
      <c r="FF8" s="75" t="e">
        <f>$CJ8*VLOOKUP($G8,'Рецепты а.б.'!$B$5:$AW$50,FF$67,0)</f>
        <v>#N/A</v>
      </c>
      <c r="FG8" s="75" t="e">
        <f>$CE8*VLOOKUP($G8,'Рецепты а.б.'!$B$5:$AW$50,FG$67,0)</f>
        <v>#N/A</v>
      </c>
      <c r="FH8" s="75" t="e">
        <f>$CE8*VLOOKUP($G8,'Рецепты а.б.'!$B$5:$AW$50,FH$67,0)</f>
        <v>#N/A</v>
      </c>
      <c r="FI8" s="75" t="e">
        <f>$CE8*VLOOKUP($G8,'Рецепты а.б.'!$B$5:$AW$50,FI$67,0)</f>
        <v>#N/A</v>
      </c>
      <c r="FJ8" s="75" t="e">
        <f>$CE8*VLOOKUP($G8,'Рецепты а.б.'!$B$5:$AW$50,FJ$67,0)</f>
        <v>#N/A</v>
      </c>
      <c r="FK8" s="75" t="e">
        <f>$CE8*VLOOKUP($G8,'Рецепты а.б.'!$B$5:$AW$50,FK$67,0)</f>
        <v>#N/A</v>
      </c>
      <c r="FL8" s="75" t="e">
        <f>$CE8*VLOOKUP($G8,'Рецепты а.б.'!$B$5:$AW$50,FL$67,0)</f>
        <v>#N/A</v>
      </c>
      <c r="FM8" s="75" t="e">
        <f>$CE8*VLOOKUP($G8,'Рецепты а.б.'!$B$5:$AW$50,FM$67,0)</f>
        <v>#N/A</v>
      </c>
      <c r="FN8" s="75" t="e">
        <f>$CE8*VLOOKUP($G8,'Рецепты а.б.'!$B$5:$AW$50,FN$67,0)</f>
        <v>#N/A</v>
      </c>
    </row>
    <row r="9" spans="1:170" s="64" customFormat="1" hidden="1" x14ac:dyDescent="0.2">
      <c r="A9" s="127">
        <f t="shared" si="105"/>
        <v>6</v>
      </c>
      <c r="B9" s="344"/>
      <c r="C9" s="344"/>
      <c r="D9" s="344"/>
      <c r="E9" s="420" t="s">
        <v>331</v>
      </c>
      <c r="F9" s="345"/>
      <c r="G9" s="346"/>
      <c r="H9" s="419" t="s">
        <v>206</v>
      </c>
      <c r="I9" s="347"/>
      <c r="J9" s="348"/>
      <c r="K9" s="348"/>
      <c r="L9" s="348"/>
      <c r="M9" s="348"/>
      <c r="N9" s="348"/>
      <c r="O9" s="65">
        <f t="shared" si="191"/>
        <v>0</v>
      </c>
      <c r="P9" s="342">
        <f t="shared" si="5"/>
        <v>0</v>
      </c>
      <c r="Q9" s="342"/>
      <c r="R9" s="342"/>
      <c r="S9" s="342"/>
      <c r="T9" s="65">
        <f t="shared" si="192"/>
        <v>0</v>
      </c>
      <c r="U9" s="66">
        <f t="shared" si="150"/>
        <v>0</v>
      </c>
      <c r="V9" s="66">
        <f t="shared" si="151"/>
        <v>0</v>
      </c>
      <c r="W9" s="349">
        <f t="shared" si="152"/>
        <v>0</v>
      </c>
      <c r="X9" s="350"/>
      <c r="Y9" s="350"/>
      <c r="Z9" s="351"/>
      <c r="AA9" s="66">
        <f t="shared" si="153"/>
        <v>0</v>
      </c>
      <c r="AB9" s="66">
        <f t="shared" si="154"/>
        <v>0</v>
      </c>
      <c r="AC9" s="66">
        <f t="shared" si="155"/>
        <v>0</v>
      </c>
      <c r="AD9" s="66">
        <f t="shared" si="156"/>
        <v>0</v>
      </c>
      <c r="AE9" s="66">
        <f t="shared" si="14"/>
        <v>0</v>
      </c>
      <c r="AF9" s="66">
        <f t="shared" si="15"/>
        <v>0</v>
      </c>
      <c r="AG9" s="66">
        <f t="shared" si="16"/>
        <v>0</v>
      </c>
      <c r="AH9" s="66">
        <f t="shared" si="17"/>
        <v>0</v>
      </c>
      <c r="AI9" s="66">
        <f t="shared" si="18"/>
        <v>0</v>
      </c>
      <c r="AJ9" s="66">
        <f t="shared" si="157"/>
        <v>0</v>
      </c>
      <c r="AK9" s="67">
        <f t="shared" si="158"/>
        <v>0</v>
      </c>
      <c r="AL9" s="67">
        <f t="shared" si="159"/>
        <v>0</v>
      </c>
      <c r="AM9" s="67">
        <f t="shared" si="160"/>
        <v>0</v>
      </c>
      <c r="AN9" s="67">
        <f t="shared" si="23"/>
        <v>0</v>
      </c>
      <c r="AO9" s="66">
        <f t="shared" si="161"/>
        <v>0</v>
      </c>
      <c r="AP9" s="66">
        <f t="shared" si="162"/>
        <v>0</v>
      </c>
      <c r="AQ9" s="66">
        <f t="shared" si="163"/>
        <v>0</v>
      </c>
      <c r="AR9" s="66">
        <f t="shared" si="164"/>
        <v>0</v>
      </c>
      <c r="AS9" s="66">
        <f t="shared" si="165"/>
        <v>0</v>
      </c>
      <c r="AT9" s="66">
        <f t="shared" si="166"/>
        <v>0</v>
      </c>
      <c r="AU9" s="66">
        <f t="shared" si="167"/>
        <v>0</v>
      </c>
      <c r="AV9" s="66">
        <f t="shared" si="168"/>
        <v>0</v>
      </c>
      <c r="AW9" s="66">
        <f t="shared" si="169"/>
        <v>0</v>
      </c>
      <c r="AX9" s="66">
        <f t="shared" si="170"/>
        <v>0</v>
      </c>
      <c r="AY9" s="66">
        <f t="shared" si="171"/>
        <v>0</v>
      </c>
      <c r="AZ9" s="66">
        <f t="shared" si="172"/>
        <v>0</v>
      </c>
      <c r="BA9" s="66">
        <f t="shared" si="173"/>
        <v>0</v>
      </c>
      <c r="BB9" s="66">
        <f t="shared" si="174"/>
        <v>0</v>
      </c>
      <c r="BC9" s="66">
        <f t="shared" si="175"/>
        <v>0</v>
      </c>
      <c r="BD9" s="66">
        <f t="shared" si="176"/>
        <v>0</v>
      </c>
      <c r="BE9" s="66">
        <f t="shared" si="177"/>
        <v>0</v>
      </c>
      <c r="BF9" s="66">
        <f t="shared" si="178"/>
        <v>0</v>
      </c>
      <c r="BG9" s="66">
        <f t="shared" si="179"/>
        <v>0</v>
      </c>
      <c r="BH9" s="66">
        <f t="shared" si="180"/>
        <v>0</v>
      </c>
      <c r="BI9" s="66">
        <f t="shared" si="181"/>
        <v>0</v>
      </c>
      <c r="BJ9" s="68">
        <f t="shared" si="182"/>
        <v>0</v>
      </c>
      <c r="BK9" s="352">
        <v>1</v>
      </c>
      <c r="BL9" s="352">
        <v>12</v>
      </c>
      <c r="BM9" s="263">
        <v>1</v>
      </c>
      <c r="BN9" s="263">
        <v>12</v>
      </c>
      <c r="BO9" s="69">
        <f t="shared" si="183"/>
        <v>42186</v>
      </c>
      <c r="BP9" s="69">
        <f t="shared" si="184"/>
        <v>42552</v>
      </c>
      <c r="BQ9" s="70">
        <f t="shared" si="46"/>
        <v>6.54E-2</v>
      </c>
      <c r="BR9" s="285">
        <f t="shared" si="47"/>
        <v>0.1391</v>
      </c>
      <c r="BS9" s="68">
        <f t="shared" si="185"/>
        <v>0</v>
      </c>
      <c r="BT9" s="68">
        <f t="shared" si="186"/>
        <v>0</v>
      </c>
      <c r="BU9" s="353"/>
      <c r="BV9" s="71" t="e">
        <f t="shared" si="187"/>
        <v>#DIV/0!</v>
      </c>
      <c r="BW9" s="72"/>
      <c r="BX9" s="73" t="e">
        <f t="shared" si="51"/>
        <v>#DIV/0!</v>
      </c>
      <c r="BY9" s="73" t="e">
        <f t="shared" si="52"/>
        <v>#DIV/0!</v>
      </c>
      <c r="BZ9" s="73" t="e">
        <f t="shared" si="53"/>
        <v>#DIV/0!</v>
      </c>
      <c r="CA9" s="73" t="e">
        <f t="shared" si="54"/>
        <v>#DIV/0!</v>
      </c>
      <c r="CB9" s="73" t="e">
        <f t="shared" si="55"/>
        <v>#DIV/0!</v>
      </c>
      <c r="CD9" s="354"/>
      <c r="CE9" s="354"/>
      <c r="CF9" s="354"/>
      <c r="CG9" s="354"/>
      <c r="CH9" s="354"/>
      <c r="CI9" s="354"/>
      <c r="CJ9" s="354"/>
      <c r="CK9" s="354"/>
      <c r="CL9" s="354"/>
      <c r="CM9" s="354"/>
      <c r="CN9" s="354"/>
      <c r="CO9" s="354"/>
      <c r="CP9" s="354"/>
      <c r="CQ9" s="354"/>
      <c r="CR9" s="354"/>
      <c r="CS9" s="354"/>
      <c r="CT9" s="354"/>
      <c r="CU9" s="354"/>
      <c r="CV9" s="354"/>
      <c r="CW9" s="354"/>
      <c r="CX9" s="354"/>
      <c r="CY9" s="354"/>
      <c r="CZ9" s="354"/>
      <c r="DA9" s="354"/>
      <c r="DB9" s="354"/>
      <c r="DC9" s="354"/>
      <c r="DD9" s="95"/>
      <c r="DE9" s="45"/>
      <c r="DF9" s="76"/>
      <c r="DG9" s="77">
        <f t="shared" si="188"/>
        <v>0</v>
      </c>
      <c r="DH9" s="68">
        <f t="shared" si="189"/>
        <v>0</v>
      </c>
      <c r="DI9" s="78"/>
      <c r="DJ9" s="189"/>
      <c r="DL9" s="146">
        <f t="shared" si="58"/>
        <v>0</v>
      </c>
      <c r="DM9" s="146">
        <f t="shared" si="190"/>
        <v>0</v>
      </c>
      <c r="DN9" s="146">
        <f t="shared" si="60"/>
        <v>0</v>
      </c>
      <c r="DO9" s="146">
        <f t="shared" si="61"/>
        <v>0</v>
      </c>
      <c r="DP9" s="146">
        <f t="shared" si="62"/>
        <v>0</v>
      </c>
      <c r="DQ9" s="146">
        <f t="shared" si="63"/>
        <v>0</v>
      </c>
      <c r="DR9" s="146">
        <f t="shared" si="64"/>
        <v>0</v>
      </c>
      <c r="DS9" s="146">
        <f t="shared" si="65"/>
        <v>0</v>
      </c>
      <c r="DT9" s="146">
        <f t="shared" si="66"/>
        <v>0</v>
      </c>
      <c r="DU9" s="146">
        <f t="shared" si="67"/>
        <v>0</v>
      </c>
      <c r="DV9" s="146">
        <f t="shared" si="68"/>
        <v>0</v>
      </c>
      <c r="DW9" s="181">
        <f t="shared" si="69"/>
        <v>0</v>
      </c>
      <c r="DY9" s="183" t="e">
        <f>$CD9*VLOOKUP($G9,'Рецепты а.б.'!$B$5:$AW$50,DY$67,0)</f>
        <v>#N/A</v>
      </c>
      <c r="DZ9" s="75" t="e">
        <f>$CD9*VLOOKUP($G9,'Рецепты а.б.'!$B$5:$AW$50,DZ$67,0)</f>
        <v>#N/A</v>
      </c>
      <c r="EA9" s="75" t="e">
        <f>$CD9*VLOOKUP($G9,'Рецепты а.б.'!$B$5:$AW$50,EA$67,0)</f>
        <v>#N/A</v>
      </c>
      <c r="EB9" s="75" t="e">
        <f>$CD9*VLOOKUP($G9,'Рецепты а.б.'!$B$5:$AW$50,EB$67,0)</f>
        <v>#N/A</v>
      </c>
      <c r="EC9" s="75" t="e">
        <f>$CD9*VLOOKUP($G9,'Рецепты а.б.'!$B$5:$AW$50,EC$67,0)</f>
        <v>#N/A</v>
      </c>
      <c r="ED9" s="75" t="e">
        <f>$CD9*VLOOKUP($G9,'Рецепты а.б.'!$B$5:$AW$50,ED$67,0)</f>
        <v>#N/A</v>
      </c>
      <c r="EE9" s="75" t="e">
        <f>$CD9*VLOOKUP($G9,'Рецепты а.б.'!$B$5:$AW$50,EE$67,0)</f>
        <v>#N/A</v>
      </c>
      <c r="EF9" s="75" t="e">
        <f>$CF9*VLOOKUP($G9,'Рецепты а.б.'!$B$5:$AW$50,EF$67,0)</f>
        <v>#N/A</v>
      </c>
      <c r="EG9" s="75" t="e">
        <f>$CF9*VLOOKUP($G9,'Рецепты а.б.'!$B$5:$AW$50,EG$67,0)</f>
        <v>#N/A</v>
      </c>
      <c r="EH9" s="75" t="e">
        <f>$CF9*VLOOKUP($G9,'Рецепты а.б.'!$B$5:$AW$50,EH$67,0)</f>
        <v>#N/A</v>
      </c>
      <c r="EI9" s="75" t="e">
        <f>$CF9*VLOOKUP($G9,'Рецепты а.б.'!$B$5:$AW$50,EI$67,0)</f>
        <v>#N/A</v>
      </c>
      <c r="EJ9" s="75" t="e">
        <f>$CF9*VLOOKUP($G9,'Рецепты а.б.'!$B$5:$AW$50,EJ$67,0)</f>
        <v>#N/A</v>
      </c>
      <c r="EK9" s="75" t="e">
        <f>$CF9*VLOOKUP($G9,'Рецепты а.б.'!$B$5:$AW$50,EK$67,0)</f>
        <v>#N/A</v>
      </c>
      <c r="EL9" s="75" t="e">
        <f>$CF9*VLOOKUP($G9,'Рецепты а.б.'!$B$5:$AW$50,EL$67,0)</f>
        <v>#N/A</v>
      </c>
      <c r="EM9" s="75" t="e">
        <f>$CG9*VLOOKUP($G9,'Рецепты а.б.'!$B$5:$AW$50,EM$67,0)</f>
        <v>#N/A</v>
      </c>
      <c r="EN9" s="75" t="e">
        <f>$CG9*VLOOKUP($G9,'Рецепты а.б.'!$B$5:$AW$50,EN$67,0)</f>
        <v>#N/A</v>
      </c>
      <c r="EO9" s="75" t="e">
        <f>$CG9*VLOOKUP($G9,'Рецепты а.б.'!$B$5:$AW$50,EO$67,0)</f>
        <v>#N/A</v>
      </c>
      <c r="EP9" s="75" t="e">
        <f>$CG9*VLOOKUP($G9,'Рецепты а.б.'!$B$5:$AW$50,EP$67,0)</f>
        <v>#N/A</v>
      </c>
      <c r="EQ9" s="75" t="e">
        <f>$CG9*VLOOKUP($G9,'Рецепты а.б.'!$B$5:$AW$50,EQ$67,0)</f>
        <v>#N/A</v>
      </c>
      <c r="ER9" s="75" t="e">
        <f>$CG9*VLOOKUP($G9,'Рецепты а.б.'!$B$5:$AW$50,ER$67,0)</f>
        <v>#N/A</v>
      </c>
      <c r="ES9" s="75" t="e">
        <f>$CG9*VLOOKUP($G9,'Рецепты а.б.'!$B$5:$AW$50,ES$67,0)</f>
        <v>#N/A</v>
      </c>
      <c r="ET9" s="75" t="e">
        <f>$CH9*VLOOKUP($G9,'Рецепты а.б.'!$B$5:$AW$50,ET$67,0)</f>
        <v>#N/A</v>
      </c>
      <c r="EU9" s="75" t="e">
        <f>$CH9*VLOOKUP($G9,'Рецепты а.б.'!$B$5:$AW$50,EU$67,0)</f>
        <v>#N/A</v>
      </c>
      <c r="EV9" s="75" t="e">
        <f>$CH9*VLOOKUP($G9,'Рецепты а.б.'!$B$5:$AW$50,EV$67,0)</f>
        <v>#N/A</v>
      </c>
      <c r="EW9" s="75" t="e">
        <f>$CH9*VLOOKUP($G9,'Рецепты а.б.'!$B$5:$AW$50,EW$67,0)</f>
        <v>#N/A</v>
      </c>
      <c r="EX9" s="75" t="e">
        <f>$CH9*VLOOKUP($G9,'Рецепты а.б.'!$B$5:$AW$50,EX$67,0)</f>
        <v>#N/A</v>
      </c>
      <c r="EY9" s="75" t="e">
        <f>$CI9*VLOOKUP($G9,'Рецепты а.б.'!$B$5:$AW$50,EY$67,0)</f>
        <v>#N/A</v>
      </c>
      <c r="EZ9" s="75" t="e">
        <f>$CI9*VLOOKUP($G9,'Рецепты а.б.'!$B$5:$AW$50,EZ$67,0)</f>
        <v>#N/A</v>
      </c>
      <c r="FA9" s="75" t="e">
        <f>$CI9*VLOOKUP($G9,'Рецепты а.б.'!$B$5:$AW$50,FA$67,0)</f>
        <v>#N/A</v>
      </c>
      <c r="FB9" s="75" t="e">
        <f>$CI9*VLOOKUP($G9,'Рецепты а.б.'!$B$5:$AW$50,FB$67,0)</f>
        <v>#N/A</v>
      </c>
      <c r="FC9" s="75" t="e">
        <f>$CI9*VLOOKUP($G9,'Рецепты а.б.'!$B$5:$AW$50,FC$67,0)</f>
        <v>#N/A</v>
      </c>
      <c r="FD9" s="75" t="e">
        <f>$CI9*VLOOKUP($G9,'Рецепты а.б.'!$B$5:$AW$50,FD$67,0)</f>
        <v>#N/A</v>
      </c>
      <c r="FE9" s="75" t="e">
        <f>$CJ9*VLOOKUP($G9,'Рецепты а.б.'!$B$5:$AW$50,FE$67,0)</f>
        <v>#N/A</v>
      </c>
      <c r="FF9" s="75" t="e">
        <f>$CJ9*VLOOKUP($G9,'Рецепты а.б.'!$B$5:$AW$50,FF$67,0)</f>
        <v>#N/A</v>
      </c>
      <c r="FG9" s="75" t="e">
        <f>$CE9*VLOOKUP($G9,'Рецепты а.б.'!$B$5:$AW$50,FG$67,0)</f>
        <v>#N/A</v>
      </c>
      <c r="FH9" s="75" t="e">
        <f>$CE9*VLOOKUP($G9,'Рецепты а.б.'!$B$5:$AW$50,FH$67,0)</f>
        <v>#N/A</v>
      </c>
      <c r="FI9" s="75" t="e">
        <f>$CE9*VLOOKUP($G9,'Рецепты а.б.'!$B$5:$AW$50,FI$67,0)</f>
        <v>#N/A</v>
      </c>
      <c r="FJ9" s="75" t="e">
        <f>$CE9*VLOOKUP($G9,'Рецепты а.б.'!$B$5:$AW$50,FJ$67,0)</f>
        <v>#N/A</v>
      </c>
      <c r="FK9" s="75" t="e">
        <f>$CE9*VLOOKUP($G9,'Рецепты а.б.'!$B$5:$AW$50,FK$67,0)</f>
        <v>#N/A</v>
      </c>
      <c r="FL9" s="75" t="e">
        <f>$CE9*VLOOKUP($G9,'Рецепты а.б.'!$B$5:$AW$50,FL$67,0)</f>
        <v>#N/A</v>
      </c>
      <c r="FM9" s="75" t="e">
        <f>$CE9*VLOOKUP($G9,'Рецепты а.б.'!$B$5:$AW$50,FM$67,0)</f>
        <v>#N/A</v>
      </c>
      <c r="FN9" s="75" t="e">
        <f>$CE9*VLOOKUP($G9,'Рецепты а.б.'!$B$5:$AW$50,FN$67,0)</f>
        <v>#N/A</v>
      </c>
    </row>
    <row r="10" spans="1:170" s="64" customFormat="1" hidden="1" x14ac:dyDescent="0.2">
      <c r="A10" s="127">
        <f t="shared" si="105"/>
        <v>7</v>
      </c>
      <c r="B10" s="344"/>
      <c r="C10" s="344"/>
      <c r="D10" s="344"/>
      <c r="E10" s="420" t="s">
        <v>331</v>
      </c>
      <c r="F10" s="345"/>
      <c r="G10" s="346"/>
      <c r="H10" s="419" t="s">
        <v>206</v>
      </c>
      <c r="I10" s="347"/>
      <c r="J10" s="348"/>
      <c r="K10" s="348"/>
      <c r="L10" s="348"/>
      <c r="M10" s="348"/>
      <c r="N10" s="348"/>
      <c r="O10" s="65">
        <f t="shared" si="191"/>
        <v>0</v>
      </c>
      <c r="P10" s="342">
        <f t="shared" si="5"/>
        <v>0</v>
      </c>
      <c r="Q10" s="342"/>
      <c r="R10" s="342"/>
      <c r="S10" s="342"/>
      <c r="T10" s="65">
        <f t="shared" si="192"/>
        <v>0</v>
      </c>
      <c r="U10" s="66">
        <f t="shared" si="150"/>
        <v>0</v>
      </c>
      <c r="V10" s="66">
        <f t="shared" si="151"/>
        <v>0</v>
      </c>
      <c r="W10" s="349">
        <f t="shared" si="152"/>
        <v>0</v>
      </c>
      <c r="X10" s="350"/>
      <c r="Y10" s="350"/>
      <c r="Z10" s="351"/>
      <c r="AA10" s="66">
        <f t="shared" si="153"/>
        <v>0</v>
      </c>
      <c r="AB10" s="66">
        <f t="shared" si="154"/>
        <v>0</v>
      </c>
      <c r="AC10" s="66">
        <f t="shared" si="155"/>
        <v>0</v>
      </c>
      <c r="AD10" s="66">
        <f t="shared" si="156"/>
        <v>0</v>
      </c>
      <c r="AE10" s="66">
        <f t="shared" si="14"/>
        <v>0</v>
      </c>
      <c r="AF10" s="66">
        <f t="shared" si="15"/>
        <v>0</v>
      </c>
      <c r="AG10" s="66">
        <f t="shared" si="16"/>
        <v>0</v>
      </c>
      <c r="AH10" s="66">
        <f t="shared" si="17"/>
        <v>0</v>
      </c>
      <c r="AI10" s="66">
        <f t="shared" si="18"/>
        <v>0</v>
      </c>
      <c r="AJ10" s="66">
        <f t="shared" si="157"/>
        <v>0</v>
      </c>
      <c r="AK10" s="67">
        <f t="shared" si="158"/>
        <v>0</v>
      </c>
      <c r="AL10" s="67">
        <f t="shared" si="159"/>
        <v>0</v>
      </c>
      <c r="AM10" s="67">
        <f t="shared" si="160"/>
        <v>0</v>
      </c>
      <c r="AN10" s="67">
        <f t="shared" si="23"/>
        <v>0</v>
      </c>
      <c r="AO10" s="66">
        <f t="shared" si="161"/>
        <v>0</v>
      </c>
      <c r="AP10" s="66">
        <f t="shared" si="162"/>
        <v>0</v>
      </c>
      <c r="AQ10" s="66">
        <f t="shared" si="163"/>
        <v>0</v>
      </c>
      <c r="AR10" s="66">
        <f t="shared" si="164"/>
        <v>0</v>
      </c>
      <c r="AS10" s="66">
        <f t="shared" si="165"/>
        <v>0</v>
      </c>
      <c r="AT10" s="66">
        <f t="shared" si="166"/>
        <v>0</v>
      </c>
      <c r="AU10" s="66">
        <f t="shared" si="167"/>
        <v>0</v>
      </c>
      <c r="AV10" s="66">
        <f t="shared" si="168"/>
        <v>0</v>
      </c>
      <c r="AW10" s="66">
        <f t="shared" si="169"/>
        <v>0</v>
      </c>
      <c r="AX10" s="66">
        <f t="shared" si="170"/>
        <v>0</v>
      </c>
      <c r="AY10" s="66">
        <f t="shared" si="171"/>
        <v>0</v>
      </c>
      <c r="AZ10" s="66">
        <f t="shared" si="172"/>
        <v>0</v>
      </c>
      <c r="BA10" s="66">
        <f t="shared" si="173"/>
        <v>0</v>
      </c>
      <c r="BB10" s="66">
        <f t="shared" si="174"/>
        <v>0</v>
      </c>
      <c r="BC10" s="66">
        <f t="shared" si="175"/>
        <v>0</v>
      </c>
      <c r="BD10" s="66">
        <f t="shared" si="176"/>
        <v>0</v>
      </c>
      <c r="BE10" s="66">
        <f t="shared" si="177"/>
        <v>0</v>
      </c>
      <c r="BF10" s="66">
        <f t="shared" si="178"/>
        <v>0</v>
      </c>
      <c r="BG10" s="66">
        <f t="shared" si="179"/>
        <v>0</v>
      </c>
      <c r="BH10" s="66">
        <f t="shared" si="180"/>
        <v>0</v>
      </c>
      <c r="BI10" s="66">
        <f t="shared" si="181"/>
        <v>0</v>
      </c>
      <c r="BJ10" s="68">
        <f t="shared" si="182"/>
        <v>0</v>
      </c>
      <c r="BK10" s="352">
        <v>1</v>
      </c>
      <c r="BL10" s="352">
        <v>12</v>
      </c>
      <c r="BM10" s="263">
        <v>1</v>
      </c>
      <c r="BN10" s="263">
        <v>12</v>
      </c>
      <c r="BO10" s="69">
        <f t="shared" si="183"/>
        <v>42186</v>
      </c>
      <c r="BP10" s="69">
        <f t="shared" si="184"/>
        <v>42552</v>
      </c>
      <c r="BQ10" s="70">
        <f t="shared" si="46"/>
        <v>6.54E-2</v>
      </c>
      <c r="BR10" s="285">
        <f t="shared" si="47"/>
        <v>0.1391</v>
      </c>
      <c r="BS10" s="68">
        <f t="shared" si="185"/>
        <v>0</v>
      </c>
      <c r="BT10" s="68">
        <f t="shared" si="186"/>
        <v>0</v>
      </c>
      <c r="BU10" s="353"/>
      <c r="BV10" s="71" t="e">
        <f t="shared" si="187"/>
        <v>#DIV/0!</v>
      </c>
      <c r="BW10" s="72"/>
      <c r="BX10" s="73" t="e">
        <f t="shared" si="51"/>
        <v>#DIV/0!</v>
      </c>
      <c r="BY10" s="73" t="e">
        <f t="shared" si="52"/>
        <v>#DIV/0!</v>
      </c>
      <c r="BZ10" s="73" t="e">
        <f t="shared" si="53"/>
        <v>#DIV/0!</v>
      </c>
      <c r="CA10" s="73" t="e">
        <f t="shared" si="54"/>
        <v>#DIV/0!</v>
      </c>
      <c r="CB10" s="73" t="e">
        <f t="shared" si="55"/>
        <v>#DIV/0!</v>
      </c>
      <c r="CD10" s="354"/>
      <c r="CE10" s="354"/>
      <c r="CF10" s="354"/>
      <c r="CG10" s="354"/>
      <c r="CH10" s="354"/>
      <c r="CI10" s="354"/>
      <c r="CJ10" s="354"/>
      <c r="CK10" s="354"/>
      <c r="CL10" s="354"/>
      <c r="CM10" s="354"/>
      <c r="CN10" s="354"/>
      <c r="CO10" s="354"/>
      <c r="CP10" s="354"/>
      <c r="CQ10" s="354"/>
      <c r="CR10" s="354"/>
      <c r="CS10" s="354"/>
      <c r="CT10" s="354"/>
      <c r="CU10" s="354"/>
      <c r="CV10" s="354"/>
      <c r="CW10" s="354"/>
      <c r="CX10" s="354"/>
      <c r="CY10" s="354"/>
      <c r="CZ10" s="354"/>
      <c r="DA10" s="354"/>
      <c r="DB10" s="354"/>
      <c r="DC10" s="354"/>
      <c r="DD10" s="95"/>
      <c r="DE10" s="45"/>
      <c r="DF10" s="76"/>
      <c r="DG10" s="77">
        <f t="shared" si="188"/>
        <v>0</v>
      </c>
      <c r="DH10" s="68">
        <f t="shared" si="189"/>
        <v>0</v>
      </c>
      <c r="DI10" s="78"/>
      <c r="DJ10" s="189"/>
      <c r="DL10" s="146">
        <f t="shared" si="58"/>
        <v>0</v>
      </c>
      <c r="DM10" s="146">
        <f t="shared" si="190"/>
        <v>0</v>
      </c>
      <c r="DN10" s="146">
        <f t="shared" si="60"/>
        <v>0</v>
      </c>
      <c r="DO10" s="146">
        <f t="shared" si="61"/>
        <v>0</v>
      </c>
      <c r="DP10" s="146">
        <f t="shared" si="62"/>
        <v>0</v>
      </c>
      <c r="DQ10" s="146">
        <f t="shared" si="63"/>
        <v>0</v>
      </c>
      <c r="DR10" s="146">
        <f t="shared" si="64"/>
        <v>0</v>
      </c>
      <c r="DS10" s="146">
        <f t="shared" si="65"/>
        <v>0</v>
      </c>
      <c r="DT10" s="146">
        <f t="shared" si="66"/>
        <v>0</v>
      </c>
      <c r="DU10" s="146">
        <f t="shared" si="67"/>
        <v>0</v>
      </c>
      <c r="DV10" s="146">
        <f t="shared" si="68"/>
        <v>0</v>
      </c>
      <c r="DW10" s="181">
        <f t="shared" si="69"/>
        <v>0</v>
      </c>
      <c r="DY10" s="183" t="e">
        <f>$CD10*VLOOKUP($G10,'Рецепты а.б.'!$B$5:$AW$50,DY$67,0)</f>
        <v>#N/A</v>
      </c>
      <c r="DZ10" s="75" t="e">
        <f>$CD10*VLOOKUP($G10,'Рецепты а.б.'!$B$5:$AW$50,DZ$67,0)</f>
        <v>#N/A</v>
      </c>
      <c r="EA10" s="75" t="e">
        <f>$CD10*VLOOKUP($G10,'Рецепты а.б.'!$B$5:$AW$50,EA$67,0)</f>
        <v>#N/A</v>
      </c>
      <c r="EB10" s="75" t="e">
        <f>$CD10*VLOOKUP($G10,'Рецепты а.б.'!$B$5:$AW$50,EB$67,0)</f>
        <v>#N/A</v>
      </c>
      <c r="EC10" s="75" t="e">
        <f>$CD10*VLOOKUP($G10,'Рецепты а.б.'!$B$5:$AW$50,EC$67,0)</f>
        <v>#N/A</v>
      </c>
      <c r="ED10" s="75" t="e">
        <f>$CD10*VLOOKUP($G10,'Рецепты а.б.'!$B$5:$AW$50,ED$67,0)</f>
        <v>#N/A</v>
      </c>
      <c r="EE10" s="75" t="e">
        <f>$CD10*VLOOKUP($G10,'Рецепты а.б.'!$B$5:$AW$50,EE$67,0)</f>
        <v>#N/A</v>
      </c>
      <c r="EF10" s="75" t="e">
        <f>$CF10*VLOOKUP($G10,'Рецепты а.б.'!$B$5:$AW$50,EF$67,0)</f>
        <v>#N/A</v>
      </c>
      <c r="EG10" s="75" t="e">
        <f>$CF10*VLOOKUP($G10,'Рецепты а.б.'!$B$5:$AW$50,EG$67,0)</f>
        <v>#N/A</v>
      </c>
      <c r="EH10" s="75" t="e">
        <f>$CF10*VLOOKUP($G10,'Рецепты а.б.'!$B$5:$AW$50,EH$67,0)</f>
        <v>#N/A</v>
      </c>
      <c r="EI10" s="75" t="e">
        <f>$CF10*VLOOKUP($G10,'Рецепты а.б.'!$B$5:$AW$50,EI$67,0)</f>
        <v>#N/A</v>
      </c>
      <c r="EJ10" s="75" t="e">
        <f>$CF10*VLOOKUP($G10,'Рецепты а.б.'!$B$5:$AW$50,EJ$67,0)</f>
        <v>#N/A</v>
      </c>
      <c r="EK10" s="75" t="e">
        <f>$CF10*VLOOKUP($G10,'Рецепты а.б.'!$B$5:$AW$50,EK$67,0)</f>
        <v>#N/A</v>
      </c>
      <c r="EL10" s="75" t="e">
        <f>$CF10*VLOOKUP($G10,'Рецепты а.б.'!$B$5:$AW$50,EL$67,0)</f>
        <v>#N/A</v>
      </c>
      <c r="EM10" s="75" t="e">
        <f>$CG10*VLOOKUP($G10,'Рецепты а.б.'!$B$5:$AW$50,EM$67,0)</f>
        <v>#N/A</v>
      </c>
      <c r="EN10" s="75" t="e">
        <f>$CG10*VLOOKUP($G10,'Рецепты а.б.'!$B$5:$AW$50,EN$67,0)</f>
        <v>#N/A</v>
      </c>
      <c r="EO10" s="75" t="e">
        <f>$CG10*VLOOKUP($G10,'Рецепты а.б.'!$B$5:$AW$50,EO$67,0)</f>
        <v>#N/A</v>
      </c>
      <c r="EP10" s="75" t="e">
        <f>$CG10*VLOOKUP($G10,'Рецепты а.б.'!$B$5:$AW$50,EP$67,0)</f>
        <v>#N/A</v>
      </c>
      <c r="EQ10" s="75" t="e">
        <f>$CG10*VLOOKUP($G10,'Рецепты а.б.'!$B$5:$AW$50,EQ$67,0)</f>
        <v>#N/A</v>
      </c>
      <c r="ER10" s="75" t="e">
        <f>$CG10*VLOOKUP($G10,'Рецепты а.б.'!$B$5:$AW$50,ER$67,0)</f>
        <v>#N/A</v>
      </c>
      <c r="ES10" s="75" t="e">
        <f>$CG10*VLOOKUP($G10,'Рецепты а.б.'!$B$5:$AW$50,ES$67,0)</f>
        <v>#N/A</v>
      </c>
      <c r="ET10" s="75" t="e">
        <f>$CH10*VLOOKUP($G10,'Рецепты а.б.'!$B$5:$AW$50,ET$67,0)</f>
        <v>#N/A</v>
      </c>
      <c r="EU10" s="75" t="e">
        <f>$CH10*VLOOKUP($G10,'Рецепты а.б.'!$B$5:$AW$50,EU$67,0)</f>
        <v>#N/A</v>
      </c>
      <c r="EV10" s="75" t="e">
        <f>$CH10*VLOOKUP($G10,'Рецепты а.б.'!$B$5:$AW$50,EV$67,0)</f>
        <v>#N/A</v>
      </c>
      <c r="EW10" s="75" t="e">
        <f>$CH10*VLOOKUP($G10,'Рецепты а.б.'!$B$5:$AW$50,EW$67,0)</f>
        <v>#N/A</v>
      </c>
      <c r="EX10" s="75" t="e">
        <f>$CH10*VLOOKUP($G10,'Рецепты а.б.'!$B$5:$AW$50,EX$67,0)</f>
        <v>#N/A</v>
      </c>
      <c r="EY10" s="75" t="e">
        <f>$CI10*VLOOKUP($G10,'Рецепты а.б.'!$B$5:$AW$50,EY$67,0)</f>
        <v>#N/A</v>
      </c>
      <c r="EZ10" s="75" t="e">
        <f>$CI10*VLOOKUP($G10,'Рецепты а.б.'!$B$5:$AW$50,EZ$67,0)</f>
        <v>#N/A</v>
      </c>
      <c r="FA10" s="75" t="e">
        <f>$CI10*VLOOKUP($G10,'Рецепты а.б.'!$B$5:$AW$50,FA$67,0)</f>
        <v>#N/A</v>
      </c>
      <c r="FB10" s="75" t="e">
        <f>$CI10*VLOOKUP($G10,'Рецепты а.б.'!$B$5:$AW$50,FB$67,0)</f>
        <v>#N/A</v>
      </c>
      <c r="FC10" s="75" t="e">
        <f>$CI10*VLOOKUP($G10,'Рецепты а.б.'!$B$5:$AW$50,FC$67,0)</f>
        <v>#N/A</v>
      </c>
      <c r="FD10" s="75" t="e">
        <f>$CI10*VLOOKUP($G10,'Рецепты а.б.'!$B$5:$AW$50,FD$67,0)</f>
        <v>#N/A</v>
      </c>
      <c r="FE10" s="75" t="e">
        <f>$CJ10*VLOOKUP($G10,'Рецепты а.б.'!$B$5:$AW$50,FE$67,0)</f>
        <v>#N/A</v>
      </c>
      <c r="FF10" s="75" t="e">
        <f>$CJ10*VLOOKUP($G10,'Рецепты а.б.'!$B$5:$AW$50,FF$67,0)</f>
        <v>#N/A</v>
      </c>
      <c r="FG10" s="75" t="e">
        <f>$CE10*VLOOKUP($G10,'Рецепты а.б.'!$B$5:$AW$50,FG$67,0)</f>
        <v>#N/A</v>
      </c>
      <c r="FH10" s="75" t="e">
        <f>$CE10*VLOOKUP($G10,'Рецепты а.б.'!$B$5:$AW$50,FH$67,0)</f>
        <v>#N/A</v>
      </c>
      <c r="FI10" s="75" t="e">
        <f>$CE10*VLOOKUP($G10,'Рецепты а.б.'!$B$5:$AW$50,FI$67,0)</f>
        <v>#N/A</v>
      </c>
      <c r="FJ10" s="75" t="e">
        <f>$CE10*VLOOKUP($G10,'Рецепты а.б.'!$B$5:$AW$50,FJ$67,0)</f>
        <v>#N/A</v>
      </c>
      <c r="FK10" s="75" t="e">
        <f>$CE10*VLOOKUP($G10,'Рецепты а.б.'!$B$5:$AW$50,FK$67,0)</f>
        <v>#N/A</v>
      </c>
      <c r="FL10" s="75" t="e">
        <f>$CE10*VLOOKUP($G10,'Рецепты а.б.'!$B$5:$AW$50,FL$67,0)</f>
        <v>#N/A</v>
      </c>
      <c r="FM10" s="75" t="e">
        <f>$CE10*VLOOKUP($G10,'Рецепты а.б.'!$B$5:$AW$50,FM$67,0)</f>
        <v>#N/A</v>
      </c>
      <c r="FN10" s="75" t="e">
        <f>$CE10*VLOOKUP($G10,'Рецепты а.б.'!$B$5:$AW$50,FN$67,0)</f>
        <v>#N/A</v>
      </c>
    </row>
    <row r="11" spans="1:170" s="64" customFormat="1" hidden="1" x14ac:dyDescent="0.2">
      <c r="A11" s="127">
        <f t="shared" si="105"/>
        <v>8</v>
      </c>
      <c r="B11" s="344"/>
      <c r="C11" s="344"/>
      <c r="D11" s="344"/>
      <c r="E11" s="420" t="s">
        <v>331</v>
      </c>
      <c r="F11" s="345"/>
      <c r="G11" s="346"/>
      <c r="H11" s="419" t="s">
        <v>206</v>
      </c>
      <c r="I11" s="347"/>
      <c r="J11" s="348"/>
      <c r="K11" s="348"/>
      <c r="L11" s="348"/>
      <c r="M11" s="348"/>
      <c r="N11" s="348"/>
      <c r="O11" s="65">
        <f t="shared" si="191"/>
        <v>0</v>
      </c>
      <c r="P11" s="342">
        <f t="shared" si="5"/>
        <v>0</v>
      </c>
      <c r="Q11" s="342"/>
      <c r="R11" s="342"/>
      <c r="S11" s="342"/>
      <c r="T11" s="65">
        <f t="shared" si="192"/>
        <v>0</v>
      </c>
      <c r="U11" s="66">
        <f t="shared" si="150"/>
        <v>0</v>
      </c>
      <c r="V11" s="66">
        <f t="shared" si="151"/>
        <v>0</v>
      </c>
      <c r="W11" s="349">
        <f t="shared" si="152"/>
        <v>0</v>
      </c>
      <c r="X11" s="350"/>
      <c r="Y11" s="350"/>
      <c r="Z11" s="351"/>
      <c r="AA11" s="66">
        <f t="shared" si="153"/>
        <v>0</v>
      </c>
      <c r="AB11" s="66">
        <f t="shared" si="154"/>
        <v>0</v>
      </c>
      <c r="AC11" s="66">
        <f t="shared" si="155"/>
        <v>0</v>
      </c>
      <c r="AD11" s="66">
        <f t="shared" si="156"/>
        <v>0</v>
      </c>
      <c r="AE11" s="66">
        <f t="shared" si="14"/>
        <v>0</v>
      </c>
      <c r="AF11" s="66">
        <f t="shared" si="15"/>
        <v>0</v>
      </c>
      <c r="AG11" s="66">
        <f t="shared" si="16"/>
        <v>0</v>
      </c>
      <c r="AH11" s="66">
        <f t="shared" si="17"/>
        <v>0</v>
      </c>
      <c r="AI11" s="66">
        <f t="shared" si="18"/>
        <v>0</v>
      </c>
      <c r="AJ11" s="66">
        <f t="shared" si="157"/>
        <v>0</v>
      </c>
      <c r="AK11" s="67">
        <f t="shared" si="158"/>
        <v>0</v>
      </c>
      <c r="AL11" s="67">
        <f t="shared" si="159"/>
        <v>0</v>
      </c>
      <c r="AM11" s="67">
        <f t="shared" si="160"/>
        <v>0</v>
      </c>
      <c r="AN11" s="67">
        <f t="shared" si="23"/>
        <v>0</v>
      </c>
      <c r="AO11" s="66">
        <f t="shared" si="161"/>
        <v>0</v>
      </c>
      <c r="AP11" s="66">
        <f t="shared" si="162"/>
        <v>0</v>
      </c>
      <c r="AQ11" s="66">
        <f t="shared" si="163"/>
        <v>0</v>
      </c>
      <c r="AR11" s="66">
        <f t="shared" si="164"/>
        <v>0</v>
      </c>
      <c r="AS11" s="66">
        <f t="shared" si="165"/>
        <v>0</v>
      </c>
      <c r="AT11" s="66">
        <f t="shared" si="166"/>
        <v>0</v>
      </c>
      <c r="AU11" s="66">
        <f t="shared" si="167"/>
        <v>0</v>
      </c>
      <c r="AV11" s="66">
        <f t="shared" si="168"/>
        <v>0</v>
      </c>
      <c r="AW11" s="66">
        <f t="shared" si="169"/>
        <v>0</v>
      </c>
      <c r="AX11" s="66">
        <f t="shared" si="170"/>
        <v>0</v>
      </c>
      <c r="AY11" s="66">
        <f t="shared" si="171"/>
        <v>0</v>
      </c>
      <c r="AZ11" s="66">
        <f t="shared" si="172"/>
        <v>0</v>
      </c>
      <c r="BA11" s="66">
        <f t="shared" si="173"/>
        <v>0</v>
      </c>
      <c r="BB11" s="66">
        <f t="shared" si="174"/>
        <v>0</v>
      </c>
      <c r="BC11" s="66">
        <f t="shared" si="175"/>
        <v>0</v>
      </c>
      <c r="BD11" s="66">
        <f t="shared" si="176"/>
        <v>0</v>
      </c>
      <c r="BE11" s="66">
        <f t="shared" si="177"/>
        <v>0</v>
      </c>
      <c r="BF11" s="66">
        <f t="shared" si="178"/>
        <v>0</v>
      </c>
      <c r="BG11" s="66">
        <f t="shared" si="179"/>
        <v>0</v>
      </c>
      <c r="BH11" s="66">
        <f t="shared" si="180"/>
        <v>0</v>
      </c>
      <c r="BI11" s="66">
        <f t="shared" si="181"/>
        <v>0</v>
      </c>
      <c r="BJ11" s="68">
        <f t="shared" si="182"/>
        <v>0</v>
      </c>
      <c r="BK11" s="352">
        <v>1</v>
      </c>
      <c r="BL11" s="352">
        <v>12</v>
      </c>
      <c r="BM11" s="263">
        <v>1</v>
      </c>
      <c r="BN11" s="263">
        <v>12</v>
      </c>
      <c r="BO11" s="69">
        <f t="shared" si="183"/>
        <v>42186</v>
      </c>
      <c r="BP11" s="69">
        <f t="shared" si="184"/>
        <v>42552</v>
      </c>
      <c r="BQ11" s="70">
        <f t="shared" si="46"/>
        <v>6.54E-2</v>
      </c>
      <c r="BR11" s="285">
        <f t="shared" si="47"/>
        <v>0.1391</v>
      </c>
      <c r="BS11" s="68">
        <f t="shared" si="185"/>
        <v>0</v>
      </c>
      <c r="BT11" s="68">
        <f t="shared" si="186"/>
        <v>0</v>
      </c>
      <c r="BU11" s="353"/>
      <c r="BV11" s="71" t="e">
        <f t="shared" si="187"/>
        <v>#DIV/0!</v>
      </c>
      <c r="BW11" s="72"/>
      <c r="BX11" s="73" t="e">
        <f t="shared" si="51"/>
        <v>#DIV/0!</v>
      </c>
      <c r="BY11" s="73" t="e">
        <f t="shared" si="52"/>
        <v>#DIV/0!</v>
      </c>
      <c r="BZ11" s="73" t="e">
        <f t="shared" si="53"/>
        <v>#DIV/0!</v>
      </c>
      <c r="CA11" s="73" t="e">
        <f t="shared" si="54"/>
        <v>#DIV/0!</v>
      </c>
      <c r="CB11" s="73" t="e">
        <f t="shared" si="55"/>
        <v>#DIV/0!</v>
      </c>
      <c r="CD11" s="354"/>
      <c r="CE11" s="354"/>
      <c r="CF11" s="354"/>
      <c r="CG11" s="354"/>
      <c r="CH11" s="354"/>
      <c r="CI11" s="354"/>
      <c r="CJ11" s="354"/>
      <c r="CK11" s="354"/>
      <c r="CL11" s="354"/>
      <c r="CM11" s="354"/>
      <c r="CN11" s="354"/>
      <c r="CO11" s="354"/>
      <c r="CP11" s="354"/>
      <c r="CQ11" s="354"/>
      <c r="CR11" s="354"/>
      <c r="CS11" s="354"/>
      <c r="CT11" s="354"/>
      <c r="CU11" s="354"/>
      <c r="CV11" s="354"/>
      <c r="CW11" s="354"/>
      <c r="CX11" s="354"/>
      <c r="CY11" s="354"/>
      <c r="CZ11" s="354"/>
      <c r="DA11" s="354"/>
      <c r="DB11" s="354"/>
      <c r="DC11" s="354"/>
      <c r="DD11" s="95"/>
      <c r="DE11" s="45"/>
      <c r="DF11" s="76"/>
      <c r="DG11" s="77">
        <f t="shared" si="188"/>
        <v>0</v>
      </c>
      <c r="DH11" s="68">
        <f t="shared" si="189"/>
        <v>0</v>
      </c>
      <c r="DI11" s="78"/>
      <c r="DJ11" s="189"/>
      <c r="DL11" s="146">
        <f t="shared" si="58"/>
        <v>0</v>
      </c>
      <c r="DM11" s="146">
        <f t="shared" si="190"/>
        <v>0</v>
      </c>
      <c r="DN11" s="146">
        <f t="shared" si="60"/>
        <v>0</v>
      </c>
      <c r="DO11" s="146">
        <f t="shared" si="61"/>
        <v>0</v>
      </c>
      <c r="DP11" s="146">
        <f t="shared" si="62"/>
        <v>0</v>
      </c>
      <c r="DQ11" s="146">
        <f t="shared" si="63"/>
        <v>0</v>
      </c>
      <c r="DR11" s="146">
        <f t="shared" si="64"/>
        <v>0</v>
      </c>
      <c r="DS11" s="146">
        <f t="shared" si="65"/>
        <v>0</v>
      </c>
      <c r="DT11" s="146">
        <f t="shared" si="66"/>
        <v>0</v>
      </c>
      <c r="DU11" s="146">
        <f t="shared" si="67"/>
        <v>0</v>
      </c>
      <c r="DV11" s="146">
        <f t="shared" si="68"/>
        <v>0</v>
      </c>
      <c r="DW11" s="181">
        <f t="shared" si="69"/>
        <v>0</v>
      </c>
      <c r="DY11" s="183" t="e">
        <f>$CD11*VLOOKUP($G11,'Рецепты а.б.'!$B$5:$AW$50,DY$67,0)</f>
        <v>#N/A</v>
      </c>
      <c r="DZ11" s="75" t="e">
        <f>$CD11*VLOOKUP($G11,'Рецепты а.б.'!$B$5:$AW$50,DZ$67,0)</f>
        <v>#N/A</v>
      </c>
      <c r="EA11" s="75" t="e">
        <f>$CD11*VLOOKUP($G11,'Рецепты а.б.'!$B$5:$AW$50,EA$67,0)</f>
        <v>#N/A</v>
      </c>
      <c r="EB11" s="75" t="e">
        <f>$CD11*VLOOKUP($G11,'Рецепты а.б.'!$B$5:$AW$50,EB$67,0)</f>
        <v>#N/A</v>
      </c>
      <c r="EC11" s="75" t="e">
        <f>$CD11*VLOOKUP($G11,'Рецепты а.б.'!$B$5:$AW$50,EC$67,0)</f>
        <v>#N/A</v>
      </c>
      <c r="ED11" s="75" t="e">
        <f>$CD11*VLOOKUP($G11,'Рецепты а.б.'!$B$5:$AW$50,ED$67,0)</f>
        <v>#N/A</v>
      </c>
      <c r="EE11" s="75" t="e">
        <f>$CD11*VLOOKUP($G11,'Рецепты а.б.'!$B$5:$AW$50,EE$67,0)</f>
        <v>#N/A</v>
      </c>
      <c r="EF11" s="75" t="e">
        <f>$CF11*VLOOKUP($G11,'Рецепты а.б.'!$B$5:$AW$50,EF$67,0)</f>
        <v>#N/A</v>
      </c>
      <c r="EG11" s="75" t="e">
        <f>$CF11*VLOOKUP($G11,'Рецепты а.б.'!$B$5:$AW$50,EG$67,0)</f>
        <v>#N/A</v>
      </c>
      <c r="EH11" s="75" t="e">
        <f>$CF11*VLOOKUP($G11,'Рецепты а.б.'!$B$5:$AW$50,EH$67,0)</f>
        <v>#N/A</v>
      </c>
      <c r="EI11" s="75" t="e">
        <f>$CF11*VLOOKUP($G11,'Рецепты а.б.'!$B$5:$AW$50,EI$67,0)</f>
        <v>#N/A</v>
      </c>
      <c r="EJ11" s="75" t="e">
        <f>$CF11*VLOOKUP($G11,'Рецепты а.б.'!$B$5:$AW$50,EJ$67,0)</f>
        <v>#N/A</v>
      </c>
      <c r="EK11" s="75" t="e">
        <f>$CF11*VLOOKUP($G11,'Рецепты а.б.'!$B$5:$AW$50,EK$67,0)</f>
        <v>#N/A</v>
      </c>
      <c r="EL11" s="75" t="e">
        <f>$CF11*VLOOKUP($G11,'Рецепты а.б.'!$B$5:$AW$50,EL$67,0)</f>
        <v>#N/A</v>
      </c>
      <c r="EM11" s="75" t="e">
        <f>$CG11*VLOOKUP($G11,'Рецепты а.б.'!$B$5:$AW$50,EM$67,0)</f>
        <v>#N/A</v>
      </c>
      <c r="EN11" s="75" t="e">
        <f>$CG11*VLOOKUP($G11,'Рецепты а.б.'!$B$5:$AW$50,EN$67,0)</f>
        <v>#N/A</v>
      </c>
      <c r="EO11" s="75" t="e">
        <f>$CG11*VLOOKUP($G11,'Рецепты а.б.'!$B$5:$AW$50,EO$67,0)</f>
        <v>#N/A</v>
      </c>
      <c r="EP11" s="75" t="e">
        <f>$CG11*VLOOKUP($G11,'Рецепты а.б.'!$B$5:$AW$50,EP$67,0)</f>
        <v>#N/A</v>
      </c>
      <c r="EQ11" s="75" t="e">
        <f>$CG11*VLOOKUP($G11,'Рецепты а.б.'!$B$5:$AW$50,EQ$67,0)</f>
        <v>#N/A</v>
      </c>
      <c r="ER11" s="75" t="e">
        <f>$CG11*VLOOKUP($G11,'Рецепты а.б.'!$B$5:$AW$50,ER$67,0)</f>
        <v>#N/A</v>
      </c>
      <c r="ES11" s="75" t="e">
        <f>$CG11*VLOOKUP($G11,'Рецепты а.б.'!$B$5:$AW$50,ES$67,0)</f>
        <v>#N/A</v>
      </c>
      <c r="ET11" s="75" t="e">
        <f>$CH11*VLOOKUP($G11,'Рецепты а.б.'!$B$5:$AW$50,ET$67,0)</f>
        <v>#N/A</v>
      </c>
      <c r="EU11" s="75" t="e">
        <f>$CH11*VLOOKUP($G11,'Рецепты а.б.'!$B$5:$AW$50,EU$67,0)</f>
        <v>#N/A</v>
      </c>
      <c r="EV11" s="75" t="e">
        <f>$CH11*VLOOKUP($G11,'Рецепты а.б.'!$B$5:$AW$50,EV$67,0)</f>
        <v>#N/A</v>
      </c>
      <c r="EW11" s="75" t="e">
        <f>$CH11*VLOOKUP($G11,'Рецепты а.б.'!$B$5:$AW$50,EW$67,0)</f>
        <v>#N/A</v>
      </c>
      <c r="EX11" s="75" t="e">
        <f>$CH11*VLOOKUP($G11,'Рецепты а.б.'!$B$5:$AW$50,EX$67,0)</f>
        <v>#N/A</v>
      </c>
      <c r="EY11" s="75" t="e">
        <f>$CI11*VLOOKUP($G11,'Рецепты а.б.'!$B$5:$AW$50,EY$67,0)</f>
        <v>#N/A</v>
      </c>
      <c r="EZ11" s="75" t="e">
        <f>$CI11*VLOOKUP($G11,'Рецепты а.б.'!$B$5:$AW$50,EZ$67,0)</f>
        <v>#N/A</v>
      </c>
      <c r="FA11" s="75" t="e">
        <f>$CI11*VLOOKUP($G11,'Рецепты а.б.'!$B$5:$AW$50,FA$67,0)</f>
        <v>#N/A</v>
      </c>
      <c r="FB11" s="75" t="e">
        <f>$CI11*VLOOKUP($G11,'Рецепты а.б.'!$B$5:$AW$50,FB$67,0)</f>
        <v>#N/A</v>
      </c>
      <c r="FC11" s="75" t="e">
        <f>$CI11*VLOOKUP($G11,'Рецепты а.б.'!$B$5:$AW$50,FC$67,0)</f>
        <v>#N/A</v>
      </c>
      <c r="FD11" s="75" t="e">
        <f>$CI11*VLOOKUP($G11,'Рецепты а.б.'!$B$5:$AW$50,FD$67,0)</f>
        <v>#N/A</v>
      </c>
      <c r="FE11" s="75" t="e">
        <f>$CJ11*VLOOKUP($G11,'Рецепты а.б.'!$B$5:$AW$50,FE$67,0)</f>
        <v>#N/A</v>
      </c>
      <c r="FF11" s="75" t="e">
        <f>$CJ11*VLOOKUP($G11,'Рецепты а.б.'!$B$5:$AW$50,FF$67,0)</f>
        <v>#N/A</v>
      </c>
      <c r="FG11" s="75" t="e">
        <f>$CE11*VLOOKUP($G11,'Рецепты а.б.'!$B$5:$AW$50,FG$67,0)</f>
        <v>#N/A</v>
      </c>
      <c r="FH11" s="75" t="e">
        <f>$CE11*VLOOKUP($G11,'Рецепты а.б.'!$B$5:$AW$50,FH$67,0)</f>
        <v>#N/A</v>
      </c>
      <c r="FI11" s="75" t="e">
        <f>$CE11*VLOOKUP($G11,'Рецепты а.б.'!$B$5:$AW$50,FI$67,0)</f>
        <v>#N/A</v>
      </c>
      <c r="FJ11" s="75" t="e">
        <f>$CE11*VLOOKUP($G11,'Рецепты а.б.'!$B$5:$AW$50,FJ$67,0)</f>
        <v>#N/A</v>
      </c>
      <c r="FK11" s="75" t="e">
        <f>$CE11*VLOOKUP($G11,'Рецепты а.б.'!$B$5:$AW$50,FK$67,0)</f>
        <v>#N/A</v>
      </c>
      <c r="FL11" s="75" t="e">
        <f>$CE11*VLOOKUP($G11,'Рецепты а.б.'!$B$5:$AW$50,FL$67,0)</f>
        <v>#N/A</v>
      </c>
      <c r="FM11" s="75" t="e">
        <f>$CE11*VLOOKUP($G11,'Рецепты а.б.'!$B$5:$AW$50,FM$67,0)</f>
        <v>#N/A</v>
      </c>
      <c r="FN11" s="75" t="e">
        <f>$CE11*VLOOKUP($G11,'Рецепты а.б.'!$B$5:$AW$50,FN$67,0)</f>
        <v>#N/A</v>
      </c>
    </row>
    <row r="12" spans="1:170" s="64" customFormat="1" hidden="1" x14ac:dyDescent="0.2">
      <c r="A12" s="127">
        <f t="shared" si="105"/>
        <v>9</v>
      </c>
      <c r="B12" s="344"/>
      <c r="C12" s="344"/>
      <c r="D12" s="344"/>
      <c r="E12" s="420" t="s">
        <v>331</v>
      </c>
      <c r="F12" s="345"/>
      <c r="G12" s="346"/>
      <c r="H12" s="419" t="s">
        <v>206</v>
      </c>
      <c r="I12" s="347"/>
      <c r="J12" s="348"/>
      <c r="K12" s="348"/>
      <c r="L12" s="348"/>
      <c r="M12" s="348"/>
      <c r="N12" s="348"/>
      <c r="O12" s="65">
        <f t="shared" si="191"/>
        <v>0</v>
      </c>
      <c r="P12" s="342">
        <f t="shared" si="5"/>
        <v>0</v>
      </c>
      <c r="Q12" s="342"/>
      <c r="R12" s="342"/>
      <c r="S12" s="342"/>
      <c r="T12" s="65">
        <f t="shared" si="192"/>
        <v>0</v>
      </c>
      <c r="U12" s="66">
        <f t="shared" si="150"/>
        <v>0</v>
      </c>
      <c r="V12" s="66">
        <f t="shared" si="151"/>
        <v>0</v>
      </c>
      <c r="W12" s="349">
        <f t="shared" si="152"/>
        <v>0</v>
      </c>
      <c r="X12" s="350"/>
      <c r="Y12" s="350"/>
      <c r="Z12" s="351"/>
      <c r="AA12" s="66">
        <f t="shared" si="153"/>
        <v>0</v>
      </c>
      <c r="AB12" s="66">
        <f t="shared" si="154"/>
        <v>0</v>
      </c>
      <c r="AC12" s="66">
        <f t="shared" si="155"/>
        <v>0</v>
      </c>
      <c r="AD12" s="66">
        <f t="shared" si="156"/>
        <v>0</v>
      </c>
      <c r="AE12" s="66">
        <f t="shared" si="14"/>
        <v>0</v>
      </c>
      <c r="AF12" s="66">
        <f t="shared" si="15"/>
        <v>0</v>
      </c>
      <c r="AG12" s="66">
        <f t="shared" si="16"/>
        <v>0</v>
      </c>
      <c r="AH12" s="66">
        <f t="shared" si="17"/>
        <v>0</v>
      </c>
      <c r="AI12" s="66">
        <f t="shared" si="18"/>
        <v>0</v>
      </c>
      <c r="AJ12" s="66">
        <f t="shared" si="157"/>
        <v>0</v>
      </c>
      <c r="AK12" s="67">
        <f t="shared" si="158"/>
        <v>0</v>
      </c>
      <c r="AL12" s="67">
        <f t="shared" si="159"/>
        <v>0</v>
      </c>
      <c r="AM12" s="67">
        <f t="shared" si="160"/>
        <v>0</v>
      </c>
      <c r="AN12" s="67">
        <f t="shared" si="23"/>
        <v>0</v>
      </c>
      <c r="AO12" s="66">
        <f t="shared" si="161"/>
        <v>0</v>
      </c>
      <c r="AP12" s="66">
        <f t="shared" si="162"/>
        <v>0</v>
      </c>
      <c r="AQ12" s="66">
        <f t="shared" si="163"/>
        <v>0</v>
      </c>
      <c r="AR12" s="66">
        <f t="shared" si="164"/>
        <v>0</v>
      </c>
      <c r="AS12" s="66">
        <f t="shared" si="165"/>
        <v>0</v>
      </c>
      <c r="AT12" s="66">
        <f t="shared" si="166"/>
        <v>0</v>
      </c>
      <c r="AU12" s="66">
        <f t="shared" si="167"/>
        <v>0</v>
      </c>
      <c r="AV12" s="66">
        <f t="shared" si="168"/>
        <v>0</v>
      </c>
      <c r="AW12" s="66">
        <f t="shared" si="169"/>
        <v>0</v>
      </c>
      <c r="AX12" s="66">
        <f t="shared" si="170"/>
        <v>0</v>
      </c>
      <c r="AY12" s="66">
        <f t="shared" si="171"/>
        <v>0</v>
      </c>
      <c r="AZ12" s="66">
        <f t="shared" si="172"/>
        <v>0</v>
      </c>
      <c r="BA12" s="66">
        <f t="shared" si="173"/>
        <v>0</v>
      </c>
      <c r="BB12" s="66">
        <f t="shared" si="174"/>
        <v>0</v>
      </c>
      <c r="BC12" s="66">
        <f t="shared" si="175"/>
        <v>0</v>
      </c>
      <c r="BD12" s="66">
        <f t="shared" si="176"/>
        <v>0</v>
      </c>
      <c r="BE12" s="66">
        <f t="shared" si="177"/>
        <v>0</v>
      </c>
      <c r="BF12" s="66">
        <f t="shared" si="178"/>
        <v>0</v>
      </c>
      <c r="BG12" s="66">
        <f t="shared" si="179"/>
        <v>0</v>
      </c>
      <c r="BH12" s="66">
        <f t="shared" si="180"/>
        <v>0</v>
      </c>
      <c r="BI12" s="66">
        <f t="shared" si="181"/>
        <v>0</v>
      </c>
      <c r="BJ12" s="68">
        <f t="shared" si="182"/>
        <v>0</v>
      </c>
      <c r="BK12" s="352">
        <v>1</v>
      </c>
      <c r="BL12" s="352">
        <v>12</v>
      </c>
      <c r="BM12" s="263">
        <v>1</v>
      </c>
      <c r="BN12" s="263">
        <v>12</v>
      </c>
      <c r="BO12" s="69">
        <f t="shared" si="183"/>
        <v>42186</v>
      </c>
      <c r="BP12" s="69">
        <f t="shared" si="184"/>
        <v>42552</v>
      </c>
      <c r="BQ12" s="70">
        <f t="shared" si="46"/>
        <v>6.54E-2</v>
      </c>
      <c r="BR12" s="285">
        <f t="shared" si="47"/>
        <v>0.1391</v>
      </c>
      <c r="BS12" s="68">
        <f t="shared" si="185"/>
        <v>0</v>
      </c>
      <c r="BT12" s="68">
        <f t="shared" si="186"/>
        <v>0</v>
      </c>
      <c r="BU12" s="353"/>
      <c r="BV12" s="71" t="e">
        <f t="shared" si="187"/>
        <v>#DIV/0!</v>
      </c>
      <c r="BW12" s="72"/>
      <c r="BX12" s="73" t="e">
        <f t="shared" si="51"/>
        <v>#DIV/0!</v>
      </c>
      <c r="BY12" s="73" t="e">
        <f t="shared" si="52"/>
        <v>#DIV/0!</v>
      </c>
      <c r="BZ12" s="73" t="e">
        <f t="shared" si="53"/>
        <v>#DIV/0!</v>
      </c>
      <c r="CA12" s="73" t="e">
        <f t="shared" si="54"/>
        <v>#DIV/0!</v>
      </c>
      <c r="CB12" s="73" t="e">
        <f t="shared" si="55"/>
        <v>#DIV/0!</v>
      </c>
      <c r="CD12" s="354"/>
      <c r="CE12" s="354"/>
      <c r="CF12" s="354"/>
      <c r="CG12" s="354"/>
      <c r="CH12" s="354"/>
      <c r="CI12" s="354"/>
      <c r="CJ12" s="354"/>
      <c r="CK12" s="354"/>
      <c r="CL12" s="354"/>
      <c r="CM12" s="354"/>
      <c r="CN12" s="354"/>
      <c r="CO12" s="354"/>
      <c r="CP12" s="354"/>
      <c r="CQ12" s="354"/>
      <c r="CR12" s="354"/>
      <c r="CS12" s="354"/>
      <c r="CT12" s="354"/>
      <c r="CU12" s="354"/>
      <c r="CV12" s="354"/>
      <c r="CW12" s="354"/>
      <c r="CX12" s="354"/>
      <c r="CY12" s="354"/>
      <c r="CZ12" s="354"/>
      <c r="DA12" s="354"/>
      <c r="DB12" s="354"/>
      <c r="DC12" s="354"/>
      <c r="DD12" s="95"/>
      <c r="DE12" s="45"/>
      <c r="DF12" s="76"/>
      <c r="DG12" s="77">
        <f t="shared" si="188"/>
        <v>0</v>
      </c>
      <c r="DH12" s="68">
        <f t="shared" si="189"/>
        <v>0</v>
      </c>
      <c r="DI12" s="78"/>
      <c r="DJ12" s="189"/>
      <c r="DL12" s="146">
        <f t="shared" si="58"/>
        <v>0</v>
      </c>
      <c r="DM12" s="146">
        <f t="shared" si="190"/>
        <v>0</v>
      </c>
      <c r="DN12" s="146">
        <f t="shared" si="60"/>
        <v>0</v>
      </c>
      <c r="DO12" s="146">
        <f t="shared" si="61"/>
        <v>0</v>
      </c>
      <c r="DP12" s="146">
        <f t="shared" si="62"/>
        <v>0</v>
      </c>
      <c r="DQ12" s="146">
        <f t="shared" si="63"/>
        <v>0</v>
      </c>
      <c r="DR12" s="146">
        <f t="shared" si="64"/>
        <v>0</v>
      </c>
      <c r="DS12" s="146">
        <f t="shared" si="65"/>
        <v>0</v>
      </c>
      <c r="DT12" s="146">
        <f t="shared" si="66"/>
        <v>0</v>
      </c>
      <c r="DU12" s="146">
        <f t="shared" si="67"/>
        <v>0</v>
      </c>
      <c r="DV12" s="146">
        <f t="shared" si="68"/>
        <v>0</v>
      </c>
      <c r="DW12" s="181">
        <f t="shared" si="69"/>
        <v>0</v>
      </c>
      <c r="DY12" s="183" t="e">
        <f>$CD12*VLOOKUP($G12,'Рецепты а.б.'!$B$5:$AW$50,DY$67,0)</f>
        <v>#N/A</v>
      </c>
      <c r="DZ12" s="75" t="e">
        <f>$CD12*VLOOKUP($G12,'Рецепты а.б.'!$B$5:$AW$50,DZ$67,0)</f>
        <v>#N/A</v>
      </c>
      <c r="EA12" s="75" t="e">
        <f>$CD12*VLOOKUP($G12,'Рецепты а.б.'!$B$5:$AW$50,EA$67,0)</f>
        <v>#N/A</v>
      </c>
      <c r="EB12" s="75" t="e">
        <f>$CD12*VLOOKUP($G12,'Рецепты а.б.'!$B$5:$AW$50,EB$67,0)</f>
        <v>#N/A</v>
      </c>
      <c r="EC12" s="75" t="e">
        <f>$CD12*VLOOKUP($G12,'Рецепты а.б.'!$B$5:$AW$50,EC$67,0)</f>
        <v>#N/A</v>
      </c>
      <c r="ED12" s="75" t="e">
        <f>$CD12*VLOOKUP($G12,'Рецепты а.б.'!$B$5:$AW$50,ED$67,0)</f>
        <v>#N/A</v>
      </c>
      <c r="EE12" s="75" t="e">
        <f>$CD12*VLOOKUP($G12,'Рецепты а.б.'!$B$5:$AW$50,EE$67,0)</f>
        <v>#N/A</v>
      </c>
      <c r="EF12" s="75" t="e">
        <f>$CF12*VLOOKUP($G12,'Рецепты а.б.'!$B$5:$AW$50,EF$67,0)</f>
        <v>#N/A</v>
      </c>
      <c r="EG12" s="75" t="e">
        <f>$CF12*VLOOKUP($G12,'Рецепты а.б.'!$B$5:$AW$50,EG$67,0)</f>
        <v>#N/A</v>
      </c>
      <c r="EH12" s="75" t="e">
        <f>$CF12*VLOOKUP($G12,'Рецепты а.б.'!$B$5:$AW$50,EH$67,0)</f>
        <v>#N/A</v>
      </c>
      <c r="EI12" s="75" t="e">
        <f>$CF12*VLOOKUP($G12,'Рецепты а.б.'!$B$5:$AW$50,EI$67,0)</f>
        <v>#N/A</v>
      </c>
      <c r="EJ12" s="75" t="e">
        <f>$CF12*VLOOKUP($G12,'Рецепты а.б.'!$B$5:$AW$50,EJ$67,0)</f>
        <v>#N/A</v>
      </c>
      <c r="EK12" s="75" t="e">
        <f>$CF12*VLOOKUP($G12,'Рецепты а.б.'!$B$5:$AW$50,EK$67,0)</f>
        <v>#N/A</v>
      </c>
      <c r="EL12" s="75" t="e">
        <f>$CF12*VLOOKUP($G12,'Рецепты а.б.'!$B$5:$AW$50,EL$67,0)</f>
        <v>#N/A</v>
      </c>
      <c r="EM12" s="75" t="e">
        <f>$CG12*VLOOKUP($G12,'Рецепты а.б.'!$B$5:$AW$50,EM$67,0)</f>
        <v>#N/A</v>
      </c>
      <c r="EN12" s="75" t="e">
        <f>$CG12*VLOOKUP($G12,'Рецепты а.б.'!$B$5:$AW$50,EN$67,0)</f>
        <v>#N/A</v>
      </c>
      <c r="EO12" s="75" t="e">
        <f>$CG12*VLOOKUP($G12,'Рецепты а.б.'!$B$5:$AW$50,EO$67,0)</f>
        <v>#N/A</v>
      </c>
      <c r="EP12" s="75" t="e">
        <f>$CG12*VLOOKUP($G12,'Рецепты а.б.'!$B$5:$AW$50,EP$67,0)</f>
        <v>#N/A</v>
      </c>
      <c r="EQ12" s="75" t="e">
        <f>$CG12*VLOOKUP($G12,'Рецепты а.б.'!$B$5:$AW$50,EQ$67,0)</f>
        <v>#N/A</v>
      </c>
      <c r="ER12" s="75" t="e">
        <f>$CG12*VLOOKUP($G12,'Рецепты а.б.'!$B$5:$AW$50,ER$67,0)</f>
        <v>#N/A</v>
      </c>
      <c r="ES12" s="75" t="e">
        <f>$CG12*VLOOKUP($G12,'Рецепты а.б.'!$B$5:$AW$50,ES$67,0)</f>
        <v>#N/A</v>
      </c>
      <c r="ET12" s="75" t="e">
        <f>$CH12*VLOOKUP($G12,'Рецепты а.б.'!$B$5:$AW$50,ET$67,0)</f>
        <v>#N/A</v>
      </c>
      <c r="EU12" s="75" t="e">
        <f>$CH12*VLOOKUP($G12,'Рецепты а.б.'!$B$5:$AW$50,EU$67,0)</f>
        <v>#N/A</v>
      </c>
      <c r="EV12" s="75" t="e">
        <f>$CH12*VLOOKUP($G12,'Рецепты а.б.'!$B$5:$AW$50,EV$67,0)</f>
        <v>#N/A</v>
      </c>
      <c r="EW12" s="75" t="e">
        <f>$CH12*VLOOKUP($G12,'Рецепты а.б.'!$B$5:$AW$50,EW$67,0)</f>
        <v>#N/A</v>
      </c>
      <c r="EX12" s="75" t="e">
        <f>$CH12*VLOOKUP($G12,'Рецепты а.б.'!$B$5:$AW$50,EX$67,0)</f>
        <v>#N/A</v>
      </c>
      <c r="EY12" s="75" t="e">
        <f>$CI12*VLOOKUP($G12,'Рецепты а.б.'!$B$5:$AW$50,EY$67,0)</f>
        <v>#N/A</v>
      </c>
      <c r="EZ12" s="75" t="e">
        <f>$CI12*VLOOKUP($G12,'Рецепты а.б.'!$B$5:$AW$50,EZ$67,0)</f>
        <v>#N/A</v>
      </c>
      <c r="FA12" s="75" t="e">
        <f>$CI12*VLOOKUP($G12,'Рецепты а.б.'!$B$5:$AW$50,FA$67,0)</f>
        <v>#N/A</v>
      </c>
      <c r="FB12" s="75" t="e">
        <f>$CI12*VLOOKUP($G12,'Рецепты а.б.'!$B$5:$AW$50,FB$67,0)</f>
        <v>#N/A</v>
      </c>
      <c r="FC12" s="75" t="e">
        <f>$CI12*VLOOKUP($G12,'Рецепты а.б.'!$B$5:$AW$50,FC$67,0)</f>
        <v>#N/A</v>
      </c>
      <c r="FD12" s="75" t="e">
        <f>$CI12*VLOOKUP($G12,'Рецепты а.б.'!$B$5:$AW$50,FD$67,0)</f>
        <v>#N/A</v>
      </c>
      <c r="FE12" s="75" t="e">
        <f>$CJ12*VLOOKUP($G12,'Рецепты а.б.'!$B$5:$AW$50,FE$67,0)</f>
        <v>#N/A</v>
      </c>
      <c r="FF12" s="75" t="e">
        <f>$CJ12*VLOOKUP($G12,'Рецепты а.б.'!$B$5:$AW$50,FF$67,0)</f>
        <v>#N/A</v>
      </c>
      <c r="FG12" s="75" t="e">
        <f>$CE12*VLOOKUP($G12,'Рецепты а.б.'!$B$5:$AW$50,FG$67,0)</f>
        <v>#N/A</v>
      </c>
      <c r="FH12" s="75" t="e">
        <f>$CE12*VLOOKUP($G12,'Рецепты а.б.'!$B$5:$AW$50,FH$67,0)</f>
        <v>#N/A</v>
      </c>
      <c r="FI12" s="75" t="e">
        <f>$CE12*VLOOKUP($G12,'Рецепты а.б.'!$B$5:$AW$50,FI$67,0)</f>
        <v>#N/A</v>
      </c>
      <c r="FJ12" s="75" t="e">
        <f>$CE12*VLOOKUP($G12,'Рецепты а.б.'!$B$5:$AW$50,FJ$67,0)</f>
        <v>#N/A</v>
      </c>
      <c r="FK12" s="75" t="e">
        <f>$CE12*VLOOKUP($G12,'Рецепты а.б.'!$B$5:$AW$50,FK$67,0)</f>
        <v>#N/A</v>
      </c>
      <c r="FL12" s="75" t="e">
        <f>$CE12*VLOOKUP($G12,'Рецепты а.б.'!$B$5:$AW$50,FL$67,0)</f>
        <v>#N/A</v>
      </c>
      <c r="FM12" s="75" t="e">
        <f>$CE12*VLOOKUP($G12,'Рецепты а.б.'!$B$5:$AW$50,FM$67,0)</f>
        <v>#N/A</v>
      </c>
      <c r="FN12" s="75" t="e">
        <f>$CE12*VLOOKUP($G12,'Рецепты а.б.'!$B$5:$AW$50,FN$67,0)</f>
        <v>#N/A</v>
      </c>
    </row>
    <row r="13" spans="1:170" s="64" customFormat="1" hidden="1" x14ac:dyDescent="0.2">
      <c r="A13" s="127">
        <f t="shared" si="105"/>
        <v>10</v>
      </c>
      <c r="B13" s="344"/>
      <c r="C13" s="344"/>
      <c r="D13" s="344"/>
      <c r="E13" s="420" t="s">
        <v>331</v>
      </c>
      <c r="F13" s="345"/>
      <c r="G13" s="346"/>
      <c r="H13" s="419" t="s">
        <v>206</v>
      </c>
      <c r="I13" s="347"/>
      <c r="J13" s="348"/>
      <c r="K13" s="348"/>
      <c r="L13" s="348"/>
      <c r="M13" s="348"/>
      <c r="N13" s="348"/>
      <c r="O13" s="65">
        <f t="shared" si="191"/>
        <v>0</v>
      </c>
      <c r="P13" s="342">
        <f t="shared" si="5"/>
        <v>0</v>
      </c>
      <c r="Q13" s="342"/>
      <c r="R13" s="342"/>
      <c r="S13" s="342"/>
      <c r="T13" s="65">
        <f t="shared" si="192"/>
        <v>0</v>
      </c>
      <c r="U13" s="66">
        <f t="shared" si="150"/>
        <v>0</v>
      </c>
      <c r="V13" s="66">
        <f t="shared" si="151"/>
        <v>0</v>
      </c>
      <c r="W13" s="349">
        <f t="shared" si="152"/>
        <v>0</v>
      </c>
      <c r="X13" s="350"/>
      <c r="Y13" s="350"/>
      <c r="Z13" s="351"/>
      <c r="AA13" s="66">
        <f t="shared" si="153"/>
        <v>0</v>
      </c>
      <c r="AB13" s="66">
        <f t="shared" si="154"/>
        <v>0</v>
      </c>
      <c r="AC13" s="66">
        <f t="shared" si="155"/>
        <v>0</v>
      </c>
      <c r="AD13" s="66">
        <f t="shared" si="156"/>
        <v>0</v>
      </c>
      <c r="AE13" s="66">
        <f t="shared" si="14"/>
        <v>0</v>
      </c>
      <c r="AF13" s="66">
        <f t="shared" si="15"/>
        <v>0</v>
      </c>
      <c r="AG13" s="66">
        <f t="shared" si="16"/>
        <v>0</v>
      </c>
      <c r="AH13" s="66">
        <f t="shared" si="17"/>
        <v>0</v>
      </c>
      <c r="AI13" s="66">
        <f t="shared" si="18"/>
        <v>0</v>
      </c>
      <c r="AJ13" s="66">
        <f t="shared" si="157"/>
        <v>0</v>
      </c>
      <c r="AK13" s="67">
        <f t="shared" si="158"/>
        <v>0</v>
      </c>
      <c r="AL13" s="67">
        <f t="shared" si="159"/>
        <v>0</v>
      </c>
      <c r="AM13" s="67">
        <f t="shared" si="160"/>
        <v>0</v>
      </c>
      <c r="AN13" s="67">
        <f t="shared" si="23"/>
        <v>0</v>
      </c>
      <c r="AO13" s="66">
        <f t="shared" si="161"/>
        <v>0</v>
      </c>
      <c r="AP13" s="66">
        <f t="shared" si="162"/>
        <v>0</v>
      </c>
      <c r="AQ13" s="66">
        <f t="shared" si="163"/>
        <v>0</v>
      </c>
      <c r="AR13" s="66">
        <f t="shared" si="164"/>
        <v>0</v>
      </c>
      <c r="AS13" s="66">
        <f t="shared" si="165"/>
        <v>0</v>
      </c>
      <c r="AT13" s="66">
        <f t="shared" si="166"/>
        <v>0</v>
      </c>
      <c r="AU13" s="66">
        <f t="shared" si="167"/>
        <v>0</v>
      </c>
      <c r="AV13" s="66">
        <f t="shared" si="168"/>
        <v>0</v>
      </c>
      <c r="AW13" s="66">
        <f t="shared" si="169"/>
        <v>0</v>
      </c>
      <c r="AX13" s="66">
        <f t="shared" si="170"/>
        <v>0</v>
      </c>
      <c r="AY13" s="66">
        <f t="shared" si="171"/>
        <v>0</v>
      </c>
      <c r="AZ13" s="66">
        <f t="shared" si="172"/>
        <v>0</v>
      </c>
      <c r="BA13" s="66">
        <f t="shared" si="173"/>
        <v>0</v>
      </c>
      <c r="BB13" s="66">
        <f t="shared" si="174"/>
        <v>0</v>
      </c>
      <c r="BC13" s="66">
        <f t="shared" si="175"/>
        <v>0</v>
      </c>
      <c r="BD13" s="66">
        <f t="shared" si="176"/>
        <v>0</v>
      </c>
      <c r="BE13" s="66">
        <f t="shared" si="177"/>
        <v>0</v>
      </c>
      <c r="BF13" s="66">
        <f t="shared" si="178"/>
        <v>0</v>
      </c>
      <c r="BG13" s="66">
        <f t="shared" si="179"/>
        <v>0</v>
      </c>
      <c r="BH13" s="66">
        <f t="shared" si="180"/>
        <v>0</v>
      </c>
      <c r="BI13" s="66">
        <f t="shared" si="181"/>
        <v>0</v>
      </c>
      <c r="BJ13" s="68">
        <f t="shared" si="182"/>
        <v>0</v>
      </c>
      <c r="BK13" s="352">
        <v>1</v>
      </c>
      <c r="BL13" s="352">
        <v>12</v>
      </c>
      <c r="BM13" s="263">
        <v>1</v>
      </c>
      <c r="BN13" s="263">
        <v>12</v>
      </c>
      <c r="BO13" s="69">
        <f t="shared" si="183"/>
        <v>42186</v>
      </c>
      <c r="BP13" s="69">
        <f t="shared" si="184"/>
        <v>42552</v>
      </c>
      <c r="BQ13" s="70">
        <f t="shared" si="46"/>
        <v>6.54E-2</v>
      </c>
      <c r="BR13" s="285">
        <f t="shared" si="47"/>
        <v>0.1391</v>
      </c>
      <c r="BS13" s="68">
        <f t="shared" si="185"/>
        <v>0</v>
      </c>
      <c r="BT13" s="68">
        <f t="shared" si="186"/>
        <v>0</v>
      </c>
      <c r="BU13" s="353"/>
      <c r="BV13" s="71" t="e">
        <f t="shared" si="187"/>
        <v>#DIV/0!</v>
      </c>
      <c r="BW13" s="72"/>
      <c r="BX13" s="73" t="e">
        <f t="shared" si="51"/>
        <v>#DIV/0!</v>
      </c>
      <c r="BY13" s="73" t="e">
        <f t="shared" si="52"/>
        <v>#DIV/0!</v>
      </c>
      <c r="BZ13" s="73" t="e">
        <f t="shared" si="53"/>
        <v>#DIV/0!</v>
      </c>
      <c r="CA13" s="73" t="e">
        <f t="shared" si="54"/>
        <v>#DIV/0!</v>
      </c>
      <c r="CB13" s="73" t="e">
        <f t="shared" si="55"/>
        <v>#DIV/0!</v>
      </c>
      <c r="CD13" s="354"/>
      <c r="CE13" s="354"/>
      <c r="CF13" s="354"/>
      <c r="CG13" s="354"/>
      <c r="CH13" s="354"/>
      <c r="CI13" s="354"/>
      <c r="CJ13" s="354"/>
      <c r="CK13" s="354"/>
      <c r="CL13" s="354"/>
      <c r="CM13" s="354"/>
      <c r="CN13" s="354"/>
      <c r="CO13" s="354"/>
      <c r="CP13" s="354"/>
      <c r="CQ13" s="354"/>
      <c r="CR13" s="354"/>
      <c r="CS13" s="354"/>
      <c r="CT13" s="354"/>
      <c r="CU13" s="354"/>
      <c r="CV13" s="354"/>
      <c r="CW13" s="354"/>
      <c r="CX13" s="354"/>
      <c r="CY13" s="354"/>
      <c r="CZ13" s="354"/>
      <c r="DA13" s="354"/>
      <c r="DB13" s="354"/>
      <c r="DC13" s="354"/>
      <c r="DD13" s="95"/>
      <c r="DE13" s="45"/>
      <c r="DF13" s="76"/>
      <c r="DG13" s="77">
        <f t="shared" si="188"/>
        <v>0</v>
      </c>
      <c r="DH13" s="68">
        <f t="shared" si="189"/>
        <v>0</v>
      </c>
      <c r="DI13" s="78"/>
      <c r="DJ13" s="189"/>
      <c r="DL13" s="146">
        <f t="shared" si="58"/>
        <v>0</v>
      </c>
      <c r="DM13" s="146">
        <f t="shared" si="190"/>
        <v>0</v>
      </c>
      <c r="DN13" s="146">
        <f t="shared" si="60"/>
        <v>0</v>
      </c>
      <c r="DO13" s="146">
        <f t="shared" si="61"/>
        <v>0</v>
      </c>
      <c r="DP13" s="146">
        <f t="shared" si="62"/>
        <v>0</v>
      </c>
      <c r="DQ13" s="146">
        <f t="shared" si="63"/>
        <v>0</v>
      </c>
      <c r="DR13" s="146">
        <f t="shared" si="64"/>
        <v>0</v>
      </c>
      <c r="DS13" s="146">
        <f t="shared" si="65"/>
        <v>0</v>
      </c>
      <c r="DT13" s="146">
        <f t="shared" si="66"/>
        <v>0</v>
      </c>
      <c r="DU13" s="146">
        <f t="shared" si="67"/>
        <v>0</v>
      </c>
      <c r="DV13" s="146">
        <f t="shared" si="68"/>
        <v>0</v>
      </c>
      <c r="DW13" s="181">
        <f t="shared" si="69"/>
        <v>0</v>
      </c>
      <c r="DY13" s="183" t="e">
        <f>$CD13*VLOOKUP($G13,'Рецепты а.б.'!$B$5:$AW$50,DY$67,0)</f>
        <v>#N/A</v>
      </c>
      <c r="DZ13" s="75" t="e">
        <f>$CD13*VLOOKUP($G13,'Рецепты а.б.'!$B$5:$AW$50,DZ$67,0)</f>
        <v>#N/A</v>
      </c>
      <c r="EA13" s="75" t="e">
        <f>$CD13*VLOOKUP($G13,'Рецепты а.б.'!$B$5:$AW$50,EA$67,0)</f>
        <v>#N/A</v>
      </c>
      <c r="EB13" s="75" t="e">
        <f>$CD13*VLOOKUP($G13,'Рецепты а.б.'!$B$5:$AW$50,EB$67,0)</f>
        <v>#N/A</v>
      </c>
      <c r="EC13" s="75" t="e">
        <f>$CD13*VLOOKUP($G13,'Рецепты а.б.'!$B$5:$AW$50,EC$67,0)</f>
        <v>#N/A</v>
      </c>
      <c r="ED13" s="75" t="e">
        <f>$CD13*VLOOKUP($G13,'Рецепты а.б.'!$B$5:$AW$50,ED$67,0)</f>
        <v>#N/A</v>
      </c>
      <c r="EE13" s="75" t="e">
        <f>$CD13*VLOOKUP($G13,'Рецепты а.б.'!$B$5:$AW$50,EE$67,0)</f>
        <v>#N/A</v>
      </c>
      <c r="EF13" s="75" t="e">
        <f>$CF13*VLOOKUP($G13,'Рецепты а.б.'!$B$5:$AW$50,EF$67,0)</f>
        <v>#N/A</v>
      </c>
      <c r="EG13" s="75" t="e">
        <f>$CF13*VLOOKUP($G13,'Рецепты а.б.'!$B$5:$AW$50,EG$67,0)</f>
        <v>#N/A</v>
      </c>
      <c r="EH13" s="75" t="e">
        <f>$CF13*VLOOKUP($G13,'Рецепты а.б.'!$B$5:$AW$50,EH$67,0)</f>
        <v>#N/A</v>
      </c>
      <c r="EI13" s="75" t="e">
        <f>$CF13*VLOOKUP($G13,'Рецепты а.б.'!$B$5:$AW$50,EI$67,0)</f>
        <v>#N/A</v>
      </c>
      <c r="EJ13" s="75" t="e">
        <f>$CF13*VLOOKUP($G13,'Рецепты а.б.'!$B$5:$AW$50,EJ$67,0)</f>
        <v>#N/A</v>
      </c>
      <c r="EK13" s="75" t="e">
        <f>$CF13*VLOOKUP($G13,'Рецепты а.б.'!$B$5:$AW$50,EK$67,0)</f>
        <v>#N/A</v>
      </c>
      <c r="EL13" s="75" t="e">
        <f>$CF13*VLOOKUP($G13,'Рецепты а.б.'!$B$5:$AW$50,EL$67,0)</f>
        <v>#N/A</v>
      </c>
      <c r="EM13" s="75" t="e">
        <f>$CG13*VLOOKUP($G13,'Рецепты а.б.'!$B$5:$AW$50,EM$67,0)</f>
        <v>#N/A</v>
      </c>
      <c r="EN13" s="75" t="e">
        <f>$CG13*VLOOKUP($G13,'Рецепты а.б.'!$B$5:$AW$50,EN$67,0)</f>
        <v>#N/A</v>
      </c>
      <c r="EO13" s="75" t="e">
        <f>$CG13*VLOOKUP($G13,'Рецепты а.б.'!$B$5:$AW$50,EO$67,0)</f>
        <v>#N/A</v>
      </c>
      <c r="EP13" s="75" t="e">
        <f>$CG13*VLOOKUP($G13,'Рецепты а.б.'!$B$5:$AW$50,EP$67,0)</f>
        <v>#N/A</v>
      </c>
      <c r="EQ13" s="75" t="e">
        <f>$CG13*VLOOKUP($G13,'Рецепты а.б.'!$B$5:$AW$50,EQ$67,0)</f>
        <v>#N/A</v>
      </c>
      <c r="ER13" s="75" t="e">
        <f>$CG13*VLOOKUP($G13,'Рецепты а.б.'!$B$5:$AW$50,ER$67,0)</f>
        <v>#N/A</v>
      </c>
      <c r="ES13" s="75" t="e">
        <f>$CG13*VLOOKUP($G13,'Рецепты а.б.'!$B$5:$AW$50,ES$67,0)</f>
        <v>#N/A</v>
      </c>
      <c r="ET13" s="75" t="e">
        <f>$CH13*VLOOKUP($G13,'Рецепты а.б.'!$B$5:$AW$50,ET$67,0)</f>
        <v>#N/A</v>
      </c>
      <c r="EU13" s="75" t="e">
        <f>$CH13*VLOOKUP($G13,'Рецепты а.б.'!$B$5:$AW$50,EU$67,0)</f>
        <v>#N/A</v>
      </c>
      <c r="EV13" s="75" t="e">
        <f>$CH13*VLOOKUP($G13,'Рецепты а.б.'!$B$5:$AW$50,EV$67,0)</f>
        <v>#N/A</v>
      </c>
      <c r="EW13" s="75" t="e">
        <f>$CH13*VLOOKUP($G13,'Рецепты а.б.'!$B$5:$AW$50,EW$67,0)</f>
        <v>#N/A</v>
      </c>
      <c r="EX13" s="75" t="e">
        <f>$CH13*VLOOKUP($G13,'Рецепты а.б.'!$B$5:$AW$50,EX$67,0)</f>
        <v>#N/A</v>
      </c>
      <c r="EY13" s="75" t="e">
        <f>$CI13*VLOOKUP($G13,'Рецепты а.б.'!$B$5:$AW$50,EY$67,0)</f>
        <v>#N/A</v>
      </c>
      <c r="EZ13" s="75" t="e">
        <f>$CI13*VLOOKUP($G13,'Рецепты а.б.'!$B$5:$AW$50,EZ$67,0)</f>
        <v>#N/A</v>
      </c>
      <c r="FA13" s="75" t="e">
        <f>$CI13*VLOOKUP($G13,'Рецепты а.б.'!$B$5:$AW$50,FA$67,0)</f>
        <v>#N/A</v>
      </c>
      <c r="FB13" s="75" t="e">
        <f>$CI13*VLOOKUP($G13,'Рецепты а.б.'!$B$5:$AW$50,FB$67,0)</f>
        <v>#N/A</v>
      </c>
      <c r="FC13" s="75" t="e">
        <f>$CI13*VLOOKUP($G13,'Рецепты а.б.'!$B$5:$AW$50,FC$67,0)</f>
        <v>#N/A</v>
      </c>
      <c r="FD13" s="75" t="e">
        <f>$CI13*VLOOKUP($G13,'Рецепты а.б.'!$B$5:$AW$50,FD$67,0)</f>
        <v>#N/A</v>
      </c>
      <c r="FE13" s="75" t="e">
        <f>$CJ13*VLOOKUP($G13,'Рецепты а.б.'!$B$5:$AW$50,FE$67,0)</f>
        <v>#N/A</v>
      </c>
      <c r="FF13" s="75" t="e">
        <f>$CJ13*VLOOKUP($G13,'Рецепты а.б.'!$B$5:$AW$50,FF$67,0)</f>
        <v>#N/A</v>
      </c>
      <c r="FG13" s="75" t="e">
        <f>$CE13*VLOOKUP($G13,'Рецепты а.б.'!$B$5:$AW$50,FG$67,0)</f>
        <v>#N/A</v>
      </c>
      <c r="FH13" s="75" t="e">
        <f>$CE13*VLOOKUP($G13,'Рецепты а.б.'!$B$5:$AW$50,FH$67,0)</f>
        <v>#N/A</v>
      </c>
      <c r="FI13" s="75" t="e">
        <f>$CE13*VLOOKUP($G13,'Рецепты а.б.'!$B$5:$AW$50,FI$67,0)</f>
        <v>#N/A</v>
      </c>
      <c r="FJ13" s="75" t="e">
        <f>$CE13*VLOOKUP($G13,'Рецепты а.б.'!$B$5:$AW$50,FJ$67,0)</f>
        <v>#N/A</v>
      </c>
      <c r="FK13" s="75" t="e">
        <f>$CE13*VLOOKUP($G13,'Рецепты а.б.'!$B$5:$AW$50,FK$67,0)</f>
        <v>#N/A</v>
      </c>
      <c r="FL13" s="75" t="e">
        <f>$CE13*VLOOKUP($G13,'Рецепты а.б.'!$B$5:$AW$50,FL$67,0)</f>
        <v>#N/A</v>
      </c>
      <c r="FM13" s="75" t="e">
        <f>$CE13*VLOOKUP($G13,'Рецепты а.б.'!$B$5:$AW$50,FM$67,0)</f>
        <v>#N/A</v>
      </c>
      <c r="FN13" s="75" t="e">
        <f>$CE13*VLOOKUP($G13,'Рецепты а.б.'!$B$5:$AW$50,FN$67,0)</f>
        <v>#N/A</v>
      </c>
    </row>
    <row r="14" spans="1:170" s="64" customFormat="1" hidden="1" x14ac:dyDescent="0.2">
      <c r="A14" s="127">
        <f t="shared" si="105"/>
        <v>11</v>
      </c>
      <c r="B14" s="344"/>
      <c r="C14" s="344"/>
      <c r="D14" s="344"/>
      <c r="E14" s="420" t="s">
        <v>331</v>
      </c>
      <c r="F14" s="345"/>
      <c r="G14" s="346"/>
      <c r="H14" s="419" t="s">
        <v>206</v>
      </c>
      <c r="I14" s="347"/>
      <c r="J14" s="348"/>
      <c r="K14" s="348"/>
      <c r="L14" s="348"/>
      <c r="M14" s="348"/>
      <c r="N14" s="348"/>
      <c r="O14" s="65">
        <f t="shared" si="191"/>
        <v>0</v>
      </c>
      <c r="P14" s="342">
        <f t="shared" si="5"/>
        <v>0</v>
      </c>
      <c r="Q14" s="342"/>
      <c r="R14" s="342"/>
      <c r="S14" s="342"/>
      <c r="T14" s="65">
        <f t="shared" si="192"/>
        <v>0</v>
      </c>
      <c r="U14" s="66">
        <f t="shared" si="150"/>
        <v>0</v>
      </c>
      <c r="V14" s="66">
        <f t="shared" si="151"/>
        <v>0</v>
      </c>
      <c r="W14" s="349">
        <f t="shared" si="152"/>
        <v>0</v>
      </c>
      <c r="X14" s="350"/>
      <c r="Y14" s="350"/>
      <c r="Z14" s="351"/>
      <c r="AA14" s="66">
        <f t="shared" si="153"/>
        <v>0</v>
      </c>
      <c r="AB14" s="66">
        <f t="shared" si="154"/>
        <v>0</v>
      </c>
      <c r="AC14" s="66">
        <f t="shared" si="155"/>
        <v>0</v>
      </c>
      <c r="AD14" s="66">
        <f t="shared" si="156"/>
        <v>0</v>
      </c>
      <c r="AE14" s="66">
        <f t="shared" si="14"/>
        <v>0</v>
      </c>
      <c r="AF14" s="66">
        <f t="shared" si="15"/>
        <v>0</v>
      </c>
      <c r="AG14" s="66">
        <f t="shared" si="16"/>
        <v>0</v>
      </c>
      <c r="AH14" s="66">
        <f t="shared" si="17"/>
        <v>0</v>
      </c>
      <c r="AI14" s="66">
        <f t="shared" si="18"/>
        <v>0</v>
      </c>
      <c r="AJ14" s="66">
        <f t="shared" si="157"/>
        <v>0</v>
      </c>
      <c r="AK14" s="67">
        <f t="shared" si="158"/>
        <v>0</v>
      </c>
      <c r="AL14" s="67">
        <f t="shared" si="159"/>
        <v>0</v>
      </c>
      <c r="AM14" s="67">
        <f t="shared" si="160"/>
        <v>0</v>
      </c>
      <c r="AN14" s="67">
        <f t="shared" si="23"/>
        <v>0</v>
      </c>
      <c r="AO14" s="66">
        <f t="shared" si="161"/>
        <v>0</v>
      </c>
      <c r="AP14" s="66">
        <f t="shared" si="162"/>
        <v>0</v>
      </c>
      <c r="AQ14" s="66">
        <f t="shared" si="163"/>
        <v>0</v>
      </c>
      <c r="AR14" s="66">
        <f t="shared" si="164"/>
        <v>0</v>
      </c>
      <c r="AS14" s="66">
        <f t="shared" si="165"/>
        <v>0</v>
      </c>
      <c r="AT14" s="66">
        <f t="shared" si="166"/>
        <v>0</v>
      </c>
      <c r="AU14" s="66">
        <f t="shared" si="167"/>
        <v>0</v>
      </c>
      <c r="AV14" s="66">
        <f t="shared" si="168"/>
        <v>0</v>
      </c>
      <c r="AW14" s="66">
        <f t="shared" si="169"/>
        <v>0</v>
      </c>
      <c r="AX14" s="66">
        <f t="shared" si="170"/>
        <v>0</v>
      </c>
      <c r="AY14" s="66">
        <f t="shared" si="171"/>
        <v>0</v>
      </c>
      <c r="AZ14" s="66">
        <f t="shared" si="172"/>
        <v>0</v>
      </c>
      <c r="BA14" s="66">
        <f t="shared" si="173"/>
        <v>0</v>
      </c>
      <c r="BB14" s="66">
        <f t="shared" si="174"/>
        <v>0</v>
      </c>
      <c r="BC14" s="66">
        <f t="shared" si="175"/>
        <v>0</v>
      </c>
      <c r="BD14" s="66">
        <f t="shared" si="176"/>
        <v>0</v>
      </c>
      <c r="BE14" s="66">
        <f t="shared" si="177"/>
        <v>0</v>
      </c>
      <c r="BF14" s="66">
        <f t="shared" si="178"/>
        <v>0</v>
      </c>
      <c r="BG14" s="66">
        <f t="shared" si="179"/>
        <v>0</v>
      </c>
      <c r="BH14" s="66">
        <f t="shared" si="180"/>
        <v>0</v>
      </c>
      <c r="BI14" s="66">
        <f t="shared" si="181"/>
        <v>0</v>
      </c>
      <c r="BJ14" s="68">
        <f t="shared" si="182"/>
        <v>0</v>
      </c>
      <c r="BK14" s="352">
        <v>1</v>
      </c>
      <c r="BL14" s="352">
        <v>12</v>
      </c>
      <c r="BM14" s="263">
        <v>1</v>
      </c>
      <c r="BN14" s="263">
        <v>12</v>
      </c>
      <c r="BO14" s="69">
        <f t="shared" si="183"/>
        <v>42186</v>
      </c>
      <c r="BP14" s="69">
        <f t="shared" si="184"/>
        <v>42552</v>
      </c>
      <c r="BQ14" s="70">
        <f t="shared" si="46"/>
        <v>6.54E-2</v>
      </c>
      <c r="BR14" s="285">
        <f t="shared" si="47"/>
        <v>0.1391</v>
      </c>
      <c r="BS14" s="68">
        <f t="shared" si="185"/>
        <v>0</v>
      </c>
      <c r="BT14" s="68">
        <f t="shared" si="186"/>
        <v>0</v>
      </c>
      <c r="BU14" s="353"/>
      <c r="BV14" s="71" t="e">
        <f t="shared" si="187"/>
        <v>#DIV/0!</v>
      </c>
      <c r="BW14" s="72"/>
      <c r="BX14" s="73" t="e">
        <f t="shared" si="51"/>
        <v>#DIV/0!</v>
      </c>
      <c r="BY14" s="73" t="e">
        <f t="shared" si="52"/>
        <v>#DIV/0!</v>
      </c>
      <c r="BZ14" s="73" t="e">
        <f t="shared" si="53"/>
        <v>#DIV/0!</v>
      </c>
      <c r="CA14" s="73" t="e">
        <f t="shared" si="54"/>
        <v>#DIV/0!</v>
      </c>
      <c r="CB14" s="73" t="e">
        <f t="shared" si="55"/>
        <v>#DIV/0!</v>
      </c>
      <c r="CD14" s="354"/>
      <c r="CE14" s="354"/>
      <c r="CF14" s="354"/>
      <c r="CG14" s="354"/>
      <c r="CH14" s="354"/>
      <c r="CI14" s="354"/>
      <c r="CJ14" s="354"/>
      <c r="CK14" s="354"/>
      <c r="CL14" s="354"/>
      <c r="CM14" s="354"/>
      <c r="CN14" s="354"/>
      <c r="CO14" s="354"/>
      <c r="CP14" s="354"/>
      <c r="CQ14" s="354"/>
      <c r="CR14" s="354"/>
      <c r="CS14" s="354"/>
      <c r="CT14" s="354"/>
      <c r="CU14" s="354"/>
      <c r="CV14" s="354"/>
      <c r="CW14" s="354"/>
      <c r="CX14" s="354"/>
      <c r="CY14" s="354"/>
      <c r="CZ14" s="354"/>
      <c r="DA14" s="354"/>
      <c r="DB14" s="354"/>
      <c r="DC14" s="354"/>
      <c r="DD14" s="95"/>
      <c r="DE14" s="45"/>
      <c r="DF14" s="76"/>
      <c r="DG14" s="77">
        <f t="shared" si="188"/>
        <v>0</v>
      </c>
      <c r="DH14" s="68">
        <f t="shared" si="189"/>
        <v>0</v>
      </c>
      <c r="DI14" s="78"/>
      <c r="DJ14" s="189"/>
      <c r="DL14" s="146">
        <f t="shared" si="58"/>
        <v>0</v>
      </c>
      <c r="DM14" s="146">
        <f t="shared" si="190"/>
        <v>0</v>
      </c>
      <c r="DN14" s="146">
        <f t="shared" si="60"/>
        <v>0</v>
      </c>
      <c r="DO14" s="146">
        <f t="shared" si="61"/>
        <v>0</v>
      </c>
      <c r="DP14" s="146">
        <f t="shared" si="62"/>
        <v>0</v>
      </c>
      <c r="DQ14" s="146">
        <f t="shared" si="63"/>
        <v>0</v>
      </c>
      <c r="DR14" s="146">
        <f t="shared" si="64"/>
        <v>0</v>
      </c>
      <c r="DS14" s="146">
        <f t="shared" si="65"/>
        <v>0</v>
      </c>
      <c r="DT14" s="146">
        <f t="shared" si="66"/>
        <v>0</v>
      </c>
      <c r="DU14" s="146">
        <f t="shared" si="67"/>
        <v>0</v>
      </c>
      <c r="DV14" s="146">
        <f t="shared" si="68"/>
        <v>0</v>
      </c>
      <c r="DW14" s="181">
        <f t="shared" si="69"/>
        <v>0</v>
      </c>
      <c r="DY14" s="183" t="e">
        <f>$CD14*VLOOKUP($G14,'Рецепты а.б.'!$B$5:$AW$50,DY$67,0)</f>
        <v>#N/A</v>
      </c>
      <c r="DZ14" s="75" t="e">
        <f>$CD14*VLOOKUP($G14,'Рецепты а.б.'!$B$5:$AW$50,DZ$67,0)</f>
        <v>#N/A</v>
      </c>
      <c r="EA14" s="75" t="e">
        <f>$CD14*VLOOKUP($G14,'Рецепты а.б.'!$B$5:$AW$50,EA$67,0)</f>
        <v>#N/A</v>
      </c>
      <c r="EB14" s="75" t="e">
        <f>$CD14*VLOOKUP($G14,'Рецепты а.б.'!$B$5:$AW$50,EB$67,0)</f>
        <v>#N/A</v>
      </c>
      <c r="EC14" s="75" t="e">
        <f>$CD14*VLOOKUP($G14,'Рецепты а.б.'!$B$5:$AW$50,EC$67,0)</f>
        <v>#N/A</v>
      </c>
      <c r="ED14" s="75" t="e">
        <f>$CD14*VLOOKUP($G14,'Рецепты а.б.'!$B$5:$AW$50,ED$67,0)</f>
        <v>#N/A</v>
      </c>
      <c r="EE14" s="75" t="e">
        <f>$CD14*VLOOKUP($G14,'Рецепты а.б.'!$B$5:$AW$50,EE$67,0)</f>
        <v>#N/A</v>
      </c>
      <c r="EF14" s="75" t="e">
        <f>$CF14*VLOOKUP($G14,'Рецепты а.б.'!$B$5:$AW$50,EF$67,0)</f>
        <v>#N/A</v>
      </c>
      <c r="EG14" s="75" t="e">
        <f>$CF14*VLOOKUP($G14,'Рецепты а.б.'!$B$5:$AW$50,EG$67,0)</f>
        <v>#N/A</v>
      </c>
      <c r="EH14" s="75" t="e">
        <f>$CF14*VLOOKUP($G14,'Рецепты а.б.'!$B$5:$AW$50,EH$67,0)</f>
        <v>#N/A</v>
      </c>
      <c r="EI14" s="75" t="e">
        <f>$CF14*VLOOKUP($G14,'Рецепты а.б.'!$B$5:$AW$50,EI$67,0)</f>
        <v>#N/A</v>
      </c>
      <c r="EJ14" s="75" t="e">
        <f>$CF14*VLOOKUP($G14,'Рецепты а.б.'!$B$5:$AW$50,EJ$67,0)</f>
        <v>#N/A</v>
      </c>
      <c r="EK14" s="75" t="e">
        <f>$CF14*VLOOKUP($G14,'Рецепты а.б.'!$B$5:$AW$50,EK$67,0)</f>
        <v>#N/A</v>
      </c>
      <c r="EL14" s="75" t="e">
        <f>$CF14*VLOOKUP($G14,'Рецепты а.б.'!$B$5:$AW$50,EL$67,0)</f>
        <v>#N/A</v>
      </c>
      <c r="EM14" s="75" t="e">
        <f>$CG14*VLOOKUP($G14,'Рецепты а.б.'!$B$5:$AW$50,EM$67,0)</f>
        <v>#N/A</v>
      </c>
      <c r="EN14" s="75" t="e">
        <f>$CG14*VLOOKUP($G14,'Рецепты а.б.'!$B$5:$AW$50,EN$67,0)</f>
        <v>#N/A</v>
      </c>
      <c r="EO14" s="75" t="e">
        <f>$CG14*VLOOKUP($G14,'Рецепты а.б.'!$B$5:$AW$50,EO$67,0)</f>
        <v>#N/A</v>
      </c>
      <c r="EP14" s="75" t="e">
        <f>$CG14*VLOOKUP($G14,'Рецепты а.б.'!$B$5:$AW$50,EP$67,0)</f>
        <v>#N/A</v>
      </c>
      <c r="EQ14" s="75" t="e">
        <f>$CG14*VLOOKUP($G14,'Рецепты а.б.'!$B$5:$AW$50,EQ$67,0)</f>
        <v>#N/A</v>
      </c>
      <c r="ER14" s="75" t="e">
        <f>$CG14*VLOOKUP($G14,'Рецепты а.б.'!$B$5:$AW$50,ER$67,0)</f>
        <v>#N/A</v>
      </c>
      <c r="ES14" s="75" t="e">
        <f>$CG14*VLOOKUP($G14,'Рецепты а.б.'!$B$5:$AW$50,ES$67,0)</f>
        <v>#N/A</v>
      </c>
      <c r="ET14" s="75" t="e">
        <f>$CH14*VLOOKUP($G14,'Рецепты а.б.'!$B$5:$AW$50,ET$67,0)</f>
        <v>#N/A</v>
      </c>
      <c r="EU14" s="75" t="e">
        <f>$CH14*VLOOKUP($G14,'Рецепты а.б.'!$B$5:$AW$50,EU$67,0)</f>
        <v>#N/A</v>
      </c>
      <c r="EV14" s="75" t="e">
        <f>$CH14*VLOOKUP($G14,'Рецепты а.б.'!$B$5:$AW$50,EV$67,0)</f>
        <v>#N/A</v>
      </c>
      <c r="EW14" s="75" t="e">
        <f>$CH14*VLOOKUP($G14,'Рецепты а.б.'!$B$5:$AW$50,EW$67,0)</f>
        <v>#N/A</v>
      </c>
      <c r="EX14" s="75" t="e">
        <f>$CH14*VLOOKUP($G14,'Рецепты а.б.'!$B$5:$AW$50,EX$67,0)</f>
        <v>#N/A</v>
      </c>
      <c r="EY14" s="75" t="e">
        <f>$CI14*VLOOKUP($G14,'Рецепты а.б.'!$B$5:$AW$50,EY$67,0)</f>
        <v>#N/A</v>
      </c>
      <c r="EZ14" s="75" t="e">
        <f>$CI14*VLOOKUP($G14,'Рецепты а.б.'!$B$5:$AW$50,EZ$67,0)</f>
        <v>#N/A</v>
      </c>
      <c r="FA14" s="75" t="e">
        <f>$CI14*VLOOKUP($G14,'Рецепты а.б.'!$B$5:$AW$50,FA$67,0)</f>
        <v>#N/A</v>
      </c>
      <c r="FB14" s="75" t="e">
        <f>$CI14*VLOOKUP($G14,'Рецепты а.б.'!$B$5:$AW$50,FB$67,0)</f>
        <v>#N/A</v>
      </c>
      <c r="FC14" s="75" t="e">
        <f>$CI14*VLOOKUP($G14,'Рецепты а.б.'!$B$5:$AW$50,FC$67,0)</f>
        <v>#N/A</v>
      </c>
      <c r="FD14" s="75" t="e">
        <f>$CI14*VLOOKUP($G14,'Рецепты а.б.'!$B$5:$AW$50,FD$67,0)</f>
        <v>#N/A</v>
      </c>
      <c r="FE14" s="75" t="e">
        <f>$CJ14*VLOOKUP($G14,'Рецепты а.б.'!$B$5:$AW$50,FE$67,0)</f>
        <v>#N/A</v>
      </c>
      <c r="FF14" s="75" t="e">
        <f>$CJ14*VLOOKUP($G14,'Рецепты а.б.'!$B$5:$AW$50,FF$67,0)</f>
        <v>#N/A</v>
      </c>
      <c r="FG14" s="75" t="e">
        <f>$CE14*VLOOKUP($G14,'Рецепты а.б.'!$B$5:$AW$50,FG$67,0)</f>
        <v>#N/A</v>
      </c>
      <c r="FH14" s="75" t="e">
        <f>$CE14*VLOOKUP($G14,'Рецепты а.б.'!$B$5:$AW$50,FH$67,0)</f>
        <v>#N/A</v>
      </c>
      <c r="FI14" s="75" t="e">
        <f>$CE14*VLOOKUP($G14,'Рецепты а.б.'!$B$5:$AW$50,FI$67,0)</f>
        <v>#N/A</v>
      </c>
      <c r="FJ14" s="75" t="e">
        <f>$CE14*VLOOKUP($G14,'Рецепты а.б.'!$B$5:$AW$50,FJ$67,0)</f>
        <v>#N/A</v>
      </c>
      <c r="FK14" s="75" t="e">
        <f>$CE14*VLOOKUP($G14,'Рецепты а.б.'!$B$5:$AW$50,FK$67,0)</f>
        <v>#N/A</v>
      </c>
      <c r="FL14" s="75" t="e">
        <f>$CE14*VLOOKUP($G14,'Рецепты а.б.'!$B$5:$AW$50,FL$67,0)</f>
        <v>#N/A</v>
      </c>
      <c r="FM14" s="75" t="e">
        <f>$CE14*VLOOKUP($G14,'Рецепты а.б.'!$B$5:$AW$50,FM$67,0)</f>
        <v>#N/A</v>
      </c>
      <c r="FN14" s="75" t="e">
        <f>$CE14*VLOOKUP($G14,'Рецепты а.б.'!$B$5:$AW$50,FN$67,0)</f>
        <v>#N/A</v>
      </c>
    </row>
    <row r="15" spans="1:170" s="64" customFormat="1" hidden="1" x14ac:dyDescent="0.2">
      <c r="A15" s="127">
        <f t="shared" si="105"/>
        <v>12</v>
      </c>
      <c r="B15" s="344"/>
      <c r="C15" s="344"/>
      <c r="D15" s="344"/>
      <c r="E15" s="420" t="s">
        <v>331</v>
      </c>
      <c r="F15" s="345"/>
      <c r="G15" s="346"/>
      <c r="H15" s="419" t="s">
        <v>206</v>
      </c>
      <c r="I15" s="347"/>
      <c r="J15" s="348"/>
      <c r="K15" s="348"/>
      <c r="L15" s="348"/>
      <c r="M15" s="348"/>
      <c r="N15" s="348"/>
      <c r="O15" s="65">
        <f t="shared" si="191"/>
        <v>0</v>
      </c>
      <c r="P15" s="342">
        <f t="shared" si="5"/>
        <v>0</v>
      </c>
      <c r="Q15" s="342"/>
      <c r="R15" s="342"/>
      <c r="S15" s="342"/>
      <c r="T15" s="65">
        <f t="shared" si="192"/>
        <v>0</v>
      </c>
      <c r="U15" s="66">
        <f t="shared" si="150"/>
        <v>0</v>
      </c>
      <c r="V15" s="66">
        <f t="shared" si="151"/>
        <v>0</v>
      </c>
      <c r="W15" s="349">
        <f t="shared" si="152"/>
        <v>0</v>
      </c>
      <c r="X15" s="350"/>
      <c r="Y15" s="350"/>
      <c r="Z15" s="351"/>
      <c r="AA15" s="66">
        <f t="shared" si="153"/>
        <v>0</v>
      </c>
      <c r="AB15" s="66">
        <f t="shared" si="154"/>
        <v>0</v>
      </c>
      <c r="AC15" s="66">
        <f t="shared" si="155"/>
        <v>0</v>
      </c>
      <c r="AD15" s="66">
        <f t="shared" si="156"/>
        <v>0</v>
      </c>
      <c r="AE15" s="66">
        <f t="shared" si="14"/>
        <v>0</v>
      </c>
      <c r="AF15" s="66">
        <f t="shared" si="15"/>
        <v>0</v>
      </c>
      <c r="AG15" s="66">
        <f t="shared" si="16"/>
        <v>0</v>
      </c>
      <c r="AH15" s="66">
        <f t="shared" si="17"/>
        <v>0</v>
      </c>
      <c r="AI15" s="66">
        <f t="shared" si="18"/>
        <v>0</v>
      </c>
      <c r="AJ15" s="66">
        <f t="shared" si="157"/>
        <v>0</v>
      </c>
      <c r="AK15" s="67">
        <f t="shared" si="158"/>
        <v>0</v>
      </c>
      <c r="AL15" s="67">
        <f t="shared" si="159"/>
        <v>0</v>
      </c>
      <c r="AM15" s="67">
        <f t="shared" si="160"/>
        <v>0</v>
      </c>
      <c r="AN15" s="67">
        <f t="shared" si="23"/>
        <v>0</v>
      </c>
      <c r="AO15" s="66">
        <f t="shared" si="161"/>
        <v>0</v>
      </c>
      <c r="AP15" s="66">
        <f t="shared" si="162"/>
        <v>0</v>
      </c>
      <c r="AQ15" s="66">
        <f t="shared" si="163"/>
        <v>0</v>
      </c>
      <c r="AR15" s="66">
        <f t="shared" si="164"/>
        <v>0</v>
      </c>
      <c r="AS15" s="66">
        <f t="shared" si="165"/>
        <v>0</v>
      </c>
      <c r="AT15" s="66">
        <f t="shared" si="166"/>
        <v>0</v>
      </c>
      <c r="AU15" s="66">
        <f t="shared" si="167"/>
        <v>0</v>
      </c>
      <c r="AV15" s="66">
        <f t="shared" si="168"/>
        <v>0</v>
      </c>
      <c r="AW15" s="66">
        <f t="shared" si="169"/>
        <v>0</v>
      </c>
      <c r="AX15" s="66">
        <f t="shared" si="170"/>
        <v>0</v>
      </c>
      <c r="AY15" s="66">
        <f t="shared" si="171"/>
        <v>0</v>
      </c>
      <c r="AZ15" s="66">
        <f t="shared" si="172"/>
        <v>0</v>
      </c>
      <c r="BA15" s="66">
        <f t="shared" si="173"/>
        <v>0</v>
      </c>
      <c r="BB15" s="66">
        <f t="shared" si="174"/>
        <v>0</v>
      </c>
      <c r="BC15" s="66">
        <f t="shared" si="175"/>
        <v>0</v>
      </c>
      <c r="BD15" s="66">
        <f t="shared" si="176"/>
        <v>0</v>
      </c>
      <c r="BE15" s="66">
        <f t="shared" si="177"/>
        <v>0</v>
      </c>
      <c r="BF15" s="66">
        <f t="shared" si="178"/>
        <v>0</v>
      </c>
      <c r="BG15" s="66">
        <f t="shared" si="179"/>
        <v>0</v>
      </c>
      <c r="BH15" s="66">
        <f t="shared" si="180"/>
        <v>0</v>
      </c>
      <c r="BI15" s="66">
        <f t="shared" si="181"/>
        <v>0</v>
      </c>
      <c r="BJ15" s="68">
        <f t="shared" si="182"/>
        <v>0</v>
      </c>
      <c r="BK15" s="352">
        <v>1</v>
      </c>
      <c r="BL15" s="352">
        <v>12</v>
      </c>
      <c r="BM15" s="263">
        <v>1</v>
      </c>
      <c r="BN15" s="263">
        <v>12</v>
      </c>
      <c r="BO15" s="69">
        <f t="shared" si="183"/>
        <v>42186</v>
      </c>
      <c r="BP15" s="69">
        <f t="shared" si="184"/>
        <v>42552</v>
      </c>
      <c r="BQ15" s="70">
        <f t="shared" si="46"/>
        <v>6.54E-2</v>
      </c>
      <c r="BR15" s="285">
        <f t="shared" si="47"/>
        <v>0.1391</v>
      </c>
      <c r="BS15" s="68">
        <f t="shared" si="185"/>
        <v>0</v>
      </c>
      <c r="BT15" s="68">
        <f t="shared" si="186"/>
        <v>0</v>
      </c>
      <c r="BU15" s="353"/>
      <c r="BV15" s="71" t="e">
        <f t="shared" si="187"/>
        <v>#DIV/0!</v>
      </c>
      <c r="BW15" s="72"/>
      <c r="BX15" s="73" t="e">
        <f t="shared" si="51"/>
        <v>#DIV/0!</v>
      </c>
      <c r="BY15" s="73" t="e">
        <f t="shared" si="52"/>
        <v>#DIV/0!</v>
      </c>
      <c r="BZ15" s="73" t="e">
        <f t="shared" si="53"/>
        <v>#DIV/0!</v>
      </c>
      <c r="CA15" s="73" t="e">
        <f t="shared" si="54"/>
        <v>#DIV/0!</v>
      </c>
      <c r="CB15" s="73" t="e">
        <f t="shared" si="55"/>
        <v>#DIV/0!</v>
      </c>
      <c r="CD15" s="354"/>
      <c r="CE15" s="354"/>
      <c r="CF15" s="354"/>
      <c r="CG15" s="354"/>
      <c r="CH15" s="354"/>
      <c r="CI15" s="354"/>
      <c r="CJ15" s="354"/>
      <c r="CK15" s="354"/>
      <c r="CL15" s="354"/>
      <c r="CM15" s="354"/>
      <c r="CN15" s="354"/>
      <c r="CO15" s="354"/>
      <c r="CP15" s="354"/>
      <c r="CQ15" s="354"/>
      <c r="CR15" s="354"/>
      <c r="CS15" s="354"/>
      <c r="CT15" s="354"/>
      <c r="CU15" s="354"/>
      <c r="CV15" s="354"/>
      <c r="CW15" s="354"/>
      <c r="CX15" s="354"/>
      <c r="CY15" s="354"/>
      <c r="CZ15" s="354"/>
      <c r="DA15" s="354"/>
      <c r="DB15" s="354"/>
      <c r="DC15" s="354"/>
      <c r="DD15" s="95"/>
      <c r="DE15" s="45"/>
      <c r="DF15" s="76"/>
      <c r="DG15" s="77">
        <f t="shared" si="188"/>
        <v>0</v>
      </c>
      <c r="DH15" s="68">
        <f t="shared" si="189"/>
        <v>0</v>
      </c>
      <c r="DI15" s="78"/>
      <c r="DJ15" s="189"/>
      <c r="DL15" s="146">
        <f t="shared" si="58"/>
        <v>0</v>
      </c>
      <c r="DM15" s="146">
        <f t="shared" si="190"/>
        <v>0</v>
      </c>
      <c r="DN15" s="146">
        <f t="shared" si="60"/>
        <v>0</v>
      </c>
      <c r="DO15" s="146">
        <f t="shared" si="61"/>
        <v>0</v>
      </c>
      <c r="DP15" s="146">
        <f t="shared" si="62"/>
        <v>0</v>
      </c>
      <c r="DQ15" s="146">
        <f t="shared" si="63"/>
        <v>0</v>
      </c>
      <c r="DR15" s="146">
        <f t="shared" si="64"/>
        <v>0</v>
      </c>
      <c r="DS15" s="146">
        <f t="shared" si="65"/>
        <v>0</v>
      </c>
      <c r="DT15" s="146">
        <f t="shared" si="66"/>
        <v>0</v>
      </c>
      <c r="DU15" s="146">
        <f t="shared" si="67"/>
        <v>0</v>
      </c>
      <c r="DV15" s="146">
        <f t="shared" si="68"/>
        <v>0</v>
      </c>
      <c r="DW15" s="181">
        <f t="shared" si="69"/>
        <v>0</v>
      </c>
      <c r="DY15" s="183" t="e">
        <f>$CD15*VLOOKUP($G15,'Рецепты а.б.'!$B$5:$AW$50,DY$67,0)</f>
        <v>#N/A</v>
      </c>
      <c r="DZ15" s="75" t="e">
        <f>$CD15*VLOOKUP($G15,'Рецепты а.б.'!$B$5:$AW$50,DZ$67,0)</f>
        <v>#N/A</v>
      </c>
      <c r="EA15" s="75" t="e">
        <f>$CD15*VLOOKUP($G15,'Рецепты а.б.'!$B$5:$AW$50,EA$67,0)</f>
        <v>#N/A</v>
      </c>
      <c r="EB15" s="75" t="e">
        <f>$CD15*VLOOKUP($G15,'Рецепты а.б.'!$B$5:$AW$50,EB$67,0)</f>
        <v>#N/A</v>
      </c>
      <c r="EC15" s="75" t="e">
        <f>$CD15*VLOOKUP($G15,'Рецепты а.б.'!$B$5:$AW$50,EC$67,0)</f>
        <v>#N/A</v>
      </c>
      <c r="ED15" s="75" t="e">
        <f>$CD15*VLOOKUP($G15,'Рецепты а.б.'!$B$5:$AW$50,ED$67,0)</f>
        <v>#N/A</v>
      </c>
      <c r="EE15" s="75" t="e">
        <f>$CD15*VLOOKUP($G15,'Рецепты а.б.'!$B$5:$AW$50,EE$67,0)</f>
        <v>#N/A</v>
      </c>
      <c r="EF15" s="75" t="e">
        <f>$CF15*VLOOKUP($G15,'Рецепты а.б.'!$B$5:$AW$50,EF$67,0)</f>
        <v>#N/A</v>
      </c>
      <c r="EG15" s="75" t="e">
        <f>$CF15*VLOOKUP($G15,'Рецепты а.б.'!$B$5:$AW$50,EG$67,0)</f>
        <v>#N/A</v>
      </c>
      <c r="EH15" s="75" t="e">
        <f>$CF15*VLOOKUP($G15,'Рецепты а.б.'!$B$5:$AW$50,EH$67,0)</f>
        <v>#N/A</v>
      </c>
      <c r="EI15" s="75" t="e">
        <f>$CF15*VLOOKUP($G15,'Рецепты а.б.'!$B$5:$AW$50,EI$67,0)</f>
        <v>#N/A</v>
      </c>
      <c r="EJ15" s="75" t="e">
        <f>$CF15*VLOOKUP($G15,'Рецепты а.б.'!$B$5:$AW$50,EJ$67,0)</f>
        <v>#N/A</v>
      </c>
      <c r="EK15" s="75" t="e">
        <f>$CF15*VLOOKUP($G15,'Рецепты а.б.'!$B$5:$AW$50,EK$67,0)</f>
        <v>#N/A</v>
      </c>
      <c r="EL15" s="75" t="e">
        <f>$CF15*VLOOKUP($G15,'Рецепты а.б.'!$B$5:$AW$50,EL$67,0)</f>
        <v>#N/A</v>
      </c>
      <c r="EM15" s="75" t="e">
        <f>$CG15*VLOOKUP($G15,'Рецепты а.б.'!$B$5:$AW$50,EM$67,0)</f>
        <v>#N/A</v>
      </c>
      <c r="EN15" s="75" t="e">
        <f>$CG15*VLOOKUP($G15,'Рецепты а.б.'!$B$5:$AW$50,EN$67,0)</f>
        <v>#N/A</v>
      </c>
      <c r="EO15" s="75" t="e">
        <f>$CG15*VLOOKUP($G15,'Рецепты а.б.'!$B$5:$AW$50,EO$67,0)</f>
        <v>#N/A</v>
      </c>
      <c r="EP15" s="75" t="e">
        <f>$CG15*VLOOKUP($G15,'Рецепты а.б.'!$B$5:$AW$50,EP$67,0)</f>
        <v>#N/A</v>
      </c>
      <c r="EQ15" s="75" t="e">
        <f>$CG15*VLOOKUP($G15,'Рецепты а.б.'!$B$5:$AW$50,EQ$67,0)</f>
        <v>#N/A</v>
      </c>
      <c r="ER15" s="75" t="e">
        <f>$CG15*VLOOKUP($G15,'Рецепты а.б.'!$B$5:$AW$50,ER$67,0)</f>
        <v>#N/A</v>
      </c>
      <c r="ES15" s="75" t="e">
        <f>$CG15*VLOOKUP($G15,'Рецепты а.б.'!$B$5:$AW$50,ES$67,0)</f>
        <v>#N/A</v>
      </c>
      <c r="ET15" s="75" t="e">
        <f>$CH15*VLOOKUP($G15,'Рецепты а.б.'!$B$5:$AW$50,ET$67,0)</f>
        <v>#N/A</v>
      </c>
      <c r="EU15" s="75" t="e">
        <f>$CH15*VLOOKUP($G15,'Рецепты а.б.'!$B$5:$AW$50,EU$67,0)</f>
        <v>#N/A</v>
      </c>
      <c r="EV15" s="75" t="e">
        <f>$CH15*VLOOKUP($G15,'Рецепты а.б.'!$B$5:$AW$50,EV$67,0)</f>
        <v>#N/A</v>
      </c>
      <c r="EW15" s="75" t="e">
        <f>$CH15*VLOOKUP($G15,'Рецепты а.б.'!$B$5:$AW$50,EW$67,0)</f>
        <v>#N/A</v>
      </c>
      <c r="EX15" s="75" t="e">
        <f>$CH15*VLOOKUP($G15,'Рецепты а.б.'!$B$5:$AW$50,EX$67,0)</f>
        <v>#N/A</v>
      </c>
      <c r="EY15" s="75" t="e">
        <f>$CI15*VLOOKUP($G15,'Рецепты а.б.'!$B$5:$AW$50,EY$67,0)</f>
        <v>#N/A</v>
      </c>
      <c r="EZ15" s="75" t="e">
        <f>$CI15*VLOOKUP($G15,'Рецепты а.б.'!$B$5:$AW$50,EZ$67,0)</f>
        <v>#N/A</v>
      </c>
      <c r="FA15" s="75" t="e">
        <f>$CI15*VLOOKUP($G15,'Рецепты а.б.'!$B$5:$AW$50,FA$67,0)</f>
        <v>#N/A</v>
      </c>
      <c r="FB15" s="75" t="e">
        <f>$CI15*VLOOKUP($G15,'Рецепты а.б.'!$B$5:$AW$50,FB$67,0)</f>
        <v>#N/A</v>
      </c>
      <c r="FC15" s="75" t="e">
        <f>$CI15*VLOOKUP($G15,'Рецепты а.б.'!$B$5:$AW$50,FC$67,0)</f>
        <v>#N/A</v>
      </c>
      <c r="FD15" s="75" t="e">
        <f>$CI15*VLOOKUP($G15,'Рецепты а.б.'!$B$5:$AW$50,FD$67,0)</f>
        <v>#N/A</v>
      </c>
      <c r="FE15" s="75" t="e">
        <f>$CJ15*VLOOKUP($G15,'Рецепты а.б.'!$B$5:$AW$50,FE$67,0)</f>
        <v>#N/A</v>
      </c>
      <c r="FF15" s="75" t="e">
        <f>$CJ15*VLOOKUP($G15,'Рецепты а.б.'!$B$5:$AW$50,FF$67,0)</f>
        <v>#N/A</v>
      </c>
      <c r="FG15" s="75" t="e">
        <f>$CE15*VLOOKUP($G15,'Рецепты а.б.'!$B$5:$AW$50,FG$67,0)</f>
        <v>#N/A</v>
      </c>
      <c r="FH15" s="75" t="e">
        <f>$CE15*VLOOKUP($G15,'Рецепты а.б.'!$B$5:$AW$50,FH$67,0)</f>
        <v>#N/A</v>
      </c>
      <c r="FI15" s="75" t="e">
        <f>$CE15*VLOOKUP($G15,'Рецепты а.б.'!$B$5:$AW$50,FI$67,0)</f>
        <v>#N/A</v>
      </c>
      <c r="FJ15" s="75" t="e">
        <f>$CE15*VLOOKUP($G15,'Рецепты а.б.'!$B$5:$AW$50,FJ$67,0)</f>
        <v>#N/A</v>
      </c>
      <c r="FK15" s="75" t="e">
        <f>$CE15*VLOOKUP($G15,'Рецепты а.б.'!$B$5:$AW$50,FK$67,0)</f>
        <v>#N/A</v>
      </c>
      <c r="FL15" s="75" t="e">
        <f>$CE15*VLOOKUP($G15,'Рецепты а.б.'!$B$5:$AW$50,FL$67,0)</f>
        <v>#N/A</v>
      </c>
      <c r="FM15" s="75" t="e">
        <f>$CE15*VLOOKUP($G15,'Рецепты а.б.'!$B$5:$AW$50,FM$67,0)</f>
        <v>#N/A</v>
      </c>
      <c r="FN15" s="75" t="e">
        <f>$CE15*VLOOKUP($G15,'Рецепты а.б.'!$B$5:$AW$50,FN$67,0)</f>
        <v>#N/A</v>
      </c>
    </row>
    <row r="16" spans="1:170" s="64" customFormat="1" hidden="1" x14ac:dyDescent="0.2">
      <c r="A16" s="127">
        <f t="shared" si="105"/>
        <v>13</v>
      </c>
      <c r="B16" s="344"/>
      <c r="C16" s="344"/>
      <c r="D16" s="344"/>
      <c r="E16" s="420" t="s">
        <v>331</v>
      </c>
      <c r="F16" s="345"/>
      <c r="G16" s="346"/>
      <c r="H16" s="419" t="s">
        <v>206</v>
      </c>
      <c r="I16" s="347"/>
      <c r="J16" s="348"/>
      <c r="K16" s="348"/>
      <c r="L16" s="348"/>
      <c r="M16" s="348"/>
      <c r="N16" s="348"/>
      <c r="O16" s="65">
        <f t="shared" ref="O16:O19" si="193">SUM(J16:N16)</f>
        <v>0</v>
      </c>
      <c r="P16" s="342">
        <f t="shared" si="5"/>
        <v>0</v>
      </c>
      <c r="Q16" s="342"/>
      <c r="R16" s="342"/>
      <c r="S16" s="342"/>
      <c r="T16" s="65">
        <f t="shared" ref="T16:T19" si="194">SUM(P16:S16)</f>
        <v>0</v>
      </c>
      <c r="U16" s="66">
        <f t="shared" si="150"/>
        <v>0</v>
      </c>
      <c r="V16" s="66">
        <f t="shared" si="151"/>
        <v>0</v>
      </c>
      <c r="W16" s="349">
        <f t="shared" si="152"/>
        <v>0</v>
      </c>
      <c r="X16" s="350"/>
      <c r="Y16" s="350"/>
      <c r="Z16" s="351"/>
      <c r="AA16" s="66">
        <f t="shared" si="153"/>
        <v>0</v>
      </c>
      <c r="AB16" s="66">
        <f t="shared" si="154"/>
        <v>0</v>
      </c>
      <c r="AC16" s="66">
        <f t="shared" si="155"/>
        <v>0</v>
      </c>
      <c r="AD16" s="66">
        <f t="shared" si="156"/>
        <v>0</v>
      </c>
      <c r="AE16" s="66">
        <f t="shared" si="14"/>
        <v>0</v>
      </c>
      <c r="AF16" s="66">
        <f t="shared" si="15"/>
        <v>0</v>
      </c>
      <c r="AG16" s="66">
        <f t="shared" si="16"/>
        <v>0</v>
      </c>
      <c r="AH16" s="66">
        <f t="shared" si="17"/>
        <v>0</v>
      </c>
      <c r="AI16" s="66">
        <f t="shared" si="18"/>
        <v>0</v>
      </c>
      <c r="AJ16" s="66">
        <f t="shared" si="157"/>
        <v>0</v>
      </c>
      <c r="AK16" s="67">
        <f t="shared" si="158"/>
        <v>0</v>
      </c>
      <c r="AL16" s="67">
        <f t="shared" si="159"/>
        <v>0</v>
      </c>
      <c r="AM16" s="67">
        <f t="shared" si="160"/>
        <v>0</v>
      </c>
      <c r="AN16" s="67">
        <f t="shared" si="23"/>
        <v>0</v>
      </c>
      <c r="AO16" s="66">
        <f t="shared" ref="AO16:AO17" si="195">SUM(AK16:AN16)</f>
        <v>0</v>
      </c>
      <c r="AP16" s="66">
        <f t="shared" si="162"/>
        <v>0</v>
      </c>
      <c r="AQ16" s="66">
        <f t="shared" si="163"/>
        <v>0</v>
      </c>
      <c r="AR16" s="66">
        <f t="shared" si="164"/>
        <v>0</v>
      </c>
      <c r="AS16" s="66">
        <f t="shared" si="165"/>
        <v>0</v>
      </c>
      <c r="AT16" s="66">
        <f t="shared" si="166"/>
        <v>0</v>
      </c>
      <c r="AU16" s="66">
        <f t="shared" si="167"/>
        <v>0</v>
      </c>
      <c r="AV16" s="66">
        <f t="shared" si="168"/>
        <v>0</v>
      </c>
      <c r="AW16" s="66">
        <f t="shared" si="169"/>
        <v>0</v>
      </c>
      <c r="AX16" s="66">
        <f t="shared" si="170"/>
        <v>0</v>
      </c>
      <c r="AY16" s="66">
        <f t="shared" si="171"/>
        <v>0</v>
      </c>
      <c r="AZ16" s="66">
        <f t="shared" si="172"/>
        <v>0</v>
      </c>
      <c r="BA16" s="66">
        <f t="shared" si="173"/>
        <v>0</v>
      </c>
      <c r="BB16" s="66">
        <f t="shared" si="174"/>
        <v>0</v>
      </c>
      <c r="BC16" s="66">
        <f t="shared" si="175"/>
        <v>0</v>
      </c>
      <c r="BD16" s="66">
        <f t="shared" si="176"/>
        <v>0</v>
      </c>
      <c r="BE16" s="66">
        <f t="shared" si="177"/>
        <v>0</v>
      </c>
      <c r="BF16" s="66">
        <f t="shared" si="178"/>
        <v>0</v>
      </c>
      <c r="BG16" s="66">
        <f t="shared" si="179"/>
        <v>0</v>
      </c>
      <c r="BH16" s="66">
        <f t="shared" si="180"/>
        <v>0</v>
      </c>
      <c r="BI16" s="66">
        <f t="shared" si="181"/>
        <v>0</v>
      </c>
      <c r="BJ16" s="68">
        <f t="shared" si="182"/>
        <v>0</v>
      </c>
      <c r="BK16" s="352">
        <v>1</v>
      </c>
      <c r="BL16" s="352">
        <v>12</v>
      </c>
      <c r="BM16" s="263">
        <v>1</v>
      </c>
      <c r="BN16" s="263">
        <v>12</v>
      </c>
      <c r="BO16" s="69">
        <f t="shared" si="183"/>
        <v>42186</v>
      </c>
      <c r="BP16" s="69">
        <f t="shared" si="184"/>
        <v>42552</v>
      </c>
      <c r="BQ16" s="70">
        <f t="shared" si="46"/>
        <v>6.54E-2</v>
      </c>
      <c r="BR16" s="285">
        <f t="shared" si="47"/>
        <v>0.1391</v>
      </c>
      <c r="BS16" s="68">
        <f t="shared" si="185"/>
        <v>0</v>
      </c>
      <c r="BT16" s="68">
        <f t="shared" si="186"/>
        <v>0</v>
      </c>
      <c r="BU16" s="353"/>
      <c r="BV16" s="71" t="e">
        <f t="shared" si="187"/>
        <v>#DIV/0!</v>
      </c>
      <c r="BW16" s="72"/>
      <c r="BX16" s="73" t="e">
        <f t="shared" si="51"/>
        <v>#DIV/0!</v>
      </c>
      <c r="BY16" s="73" t="e">
        <f t="shared" si="52"/>
        <v>#DIV/0!</v>
      </c>
      <c r="BZ16" s="73" t="e">
        <f t="shared" si="53"/>
        <v>#DIV/0!</v>
      </c>
      <c r="CA16" s="73" t="e">
        <f t="shared" si="54"/>
        <v>#DIV/0!</v>
      </c>
      <c r="CB16" s="73" t="e">
        <f t="shared" si="55"/>
        <v>#DIV/0!</v>
      </c>
      <c r="CD16" s="354"/>
      <c r="CE16" s="354"/>
      <c r="CF16" s="354"/>
      <c r="CG16" s="354"/>
      <c r="CH16" s="354"/>
      <c r="CI16" s="354"/>
      <c r="CJ16" s="354"/>
      <c r="CK16" s="354"/>
      <c r="CL16" s="354"/>
      <c r="CM16" s="354"/>
      <c r="CN16" s="354"/>
      <c r="CO16" s="354"/>
      <c r="CP16" s="354"/>
      <c r="CQ16" s="354"/>
      <c r="CR16" s="354"/>
      <c r="CS16" s="354"/>
      <c r="CT16" s="354"/>
      <c r="CU16" s="354"/>
      <c r="CV16" s="354"/>
      <c r="CW16" s="354"/>
      <c r="CX16" s="354"/>
      <c r="CY16" s="354"/>
      <c r="CZ16" s="354"/>
      <c r="DA16" s="354"/>
      <c r="DB16" s="354"/>
      <c r="DC16" s="354"/>
      <c r="DD16" s="95"/>
      <c r="DE16" s="45"/>
      <c r="DF16" s="76"/>
      <c r="DG16" s="77">
        <f t="shared" si="188"/>
        <v>0</v>
      </c>
      <c r="DH16" s="68">
        <f t="shared" si="189"/>
        <v>0</v>
      </c>
      <c r="DI16" s="78"/>
      <c r="DJ16" s="189"/>
      <c r="DL16" s="146">
        <f t="shared" si="58"/>
        <v>0</v>
      </c>
      <c r="DM16" s="146">
        <f t="shared" si="190"/>
        <v>0</v>
      </c>
      <c r="DN16" s="146">
        <f t="shared" si="60"/>
        <v>0</v>
      </c>
      <c r="DO16" s="146">
        <f t="shared" si="61"/>
        <v>0</v>
      </c>
      <c r="DP16" s="146">
        <f t="shared" si="62"/>
        <v>0</v>
      </c>
      <c r="DQ16" s="146">
        <f t="shared" si="63"/>
        <v>0</v>
      </c>
      <c r="DR16" s="146">
        <f t="shared" si="64"/>
        <v>0</v>
      </c>
      <c r="DS16" s="146">
        <f t="shared" si="65"/>
        <v>0</v>
      </c>
      <c r="DT16" s="146">
        <f t="shared" si="66"/>
        <v>0</v>
      </c>
      <c r="DU16" s="146">
        <f t="shared" si="67"/>
        <v>0</v>
      </c>
      <c r="DV16" s="146">
        <f t="shared" si="68"/>
        <v>0</v>
      </c>
      <c r="DW16" s="181">
        <f t="shared" si="69"/>
        <v>0</v>
      </c>
      <c r="DY16" s="183" t="e">
        <f>$CD16*VLOOKUP($G16,'Рецепты а.б.'!$B$5:$AW$50,DY$67,0)</f>
        <v>#N/A</v>
      </c>
      <c r="DZ16" s="75" t="e">
        <f>$CD16*VLOOKUP($G16,'Рецепты а.б.'!$B$5:$AW$50,DZ$67,0)</f>
        <v>#N/A</v>
      </c>
      <c r="EA16" s="75" t="e">
        <f>$CD16*VLOOKUP($G16,'Рецепты а.б.'!$B$5:$AW$50,EA$67,0)</f>
        <v>#N/A</v>
      </c>
      <c r="EB16" s="75" t="e">
        <f>$CD16*VLOOKUP($G16,'Рецепты а.б.'!$B$5:$AW$50,EB$67,0)</f>
        <v>#N/A</v>
      </c>
      <c r="EC16" s="75" t="e">
        <f>$CD16*VLOOKUP($G16,'Рецепты а.б.'!$B$5:$AW$50,EC$67,0)</f>
        <v>#N/A</v>
      </c>
      <c r="ED16" s="75" t="e">
        <f>$CD16*VLOOKUP($G16,'Рецепты а.б.'!$B$5:$AW$50,ED$67,0)</f>
        <v>#N/A</v>
      </c>
      <c r="EE16" s="75" t="e">
        <f>$CD16*VLOOKUP($G16,'Рецепты а.б.'!$B$5:$AW$50,EE$67,0)</f>
        <v>#N/A</v>
      </c>
      <c r="EF16" s="75" t="e">
        <f>$CF16*VLOOKUP($G16,'Рецепты а.б.'!$B$5:$AW$50,EF$67,0)</f>
        <v>#N/A</v>
      </c>
      <c r="EG16" s="75" t="e">
        <f>$CF16*VLOOKUP($G16,'Рецепты а.б.'!$B$5:$AW$50,EG$67,0)</f>
        <v>#N/A</v>
      </c>
      <c r="EH16" s="75" t="e">
        <f>$CF16*VLOOKUP($G16,'Рецепты а.б.'!$B$5:$AW$50,EH$67,0)</f>
        <v>#N/A</v>
      </c>
      <c r="EI16" s="75" t="e">
        <f>$CF16*VLOOKUP($G16,'Рецепты а.б.'!$B$5:$AW$50,EI$67,0)</f>
        <v>#N/A</v>
      </c>
      <c r="EJ16" s="75" t="e">
        <f>$CF16*VLOOKUP($G16,'Рецепты а.б.'!$B$5:$AW$50,EJ$67,0)</f>
        <v>#N/A</v>
      </c>
      <c r="EK16" s="75" t="e">
        <f>$CF16*VLOOKUP($G16,'Рецепты а.б.'!$B$5:$AW$50,EK$67,0)</f>
        <v>#N/A</v>
      </c>
      <c r="EL16" s="75" t="e">
        <f>$CF16*VLOOKUP($G16,'Рецепты а.б.'!$B$5:$AW$50,EL$67,0)</f>
        <v>#N/A</v>
      </c>
      <c r="EM16" s="75" t="e">
        <f>$CG16*VLOOKUP($G16,'Рецепты а.б.'!$B$5:$AW$50,EM$67,0)</f>
        <v>#N/A</v>
      </c>
      <c r="EN16" s="75" t="e">
        <f>$CG16*VLOOKUP($G16,'Рецепты а.б.'!$B$5:$AW$50,EN$67,0)</f>
        <v>#N/A</v>
      </c>
      <c r="EO16" s="75" t="e">
        <f>$CG16*VLOOKUP($G16,'Рецепты а.б.'!$B$5:$AW$50,EO$67,0)</f>
        <v>#N/A</v>
      </c>
      <c r="EP16" s="75" t="e">
        <f>$CG16*VLOOKUP($G16,'Рецепты а.б.'!$B$5:$AW$50,EP$67,0)</f>
        <v>#N/A</v>
      </c>
      <c r="EQ16" s="75" t="e">
        <f>$CG16*VLOOKUP($G16,'Рецепты а.б.'!$B$5:$AW$50,EQ$67,0)</f>
        <v>#N/A</v>
      </c>
      <c r="ER16" s="75" t="e">
        <f>$CG16*VLOOKUP($G16,'Рецепты а.б.'!$B$5:$AW$50,ER$67,0)</f>
        <v>#N/A</v>
      </c>
      <c r="ES16" s="75" t="e">
        <f>$CG16*VLOOKUP($G16,'Рецепты а.б.'!$B$5:$AW$50,ES$67,0)</f>
        <v>#N/A</v>
      </c>
      <c r="ET16" s="75" t="e">
        <f>$CH16*VLOOKUP($G16,'Рецепты а.б.'!$B$5:$AW$50,ET$67,0)</f>
        <v>#N/A</v>
      </c>
      <c r="EU16" s="75" t="e">
        <f>$CH16*VLOOKUP($G16,'Рецепты а.б.'!$B$5:$AW$50,EU$67,0)</f>
        <v>#N/A</v>
      </c>
      <c r="EV16" s="75" t="e">
        <f>$CH16*VLOOKUP($G16,'Рецепты а.б.'!$B$5:$AW$50,EV$67,0)</f>
        <v>#N/A</v>
      </c>
      <c r="EW16" s="75" t="e">
        <f>$CH16*VLOOKUP($G16,'Рецепты а.б.'!$B$5:$AW$50,EW$67,0)</f>
        <v>#N/A</v>
      </c>
      <c r="EX16" s="75" t="e">
        <f>$CH16*VLOOKUP($G16,'Рецепты а.б.'!$B$5:$AW$50,EX$67,0)</f>
        <v>#N/A</v>
      </c>
      <c r="EY16" s="75" t="e">
        <f>$CI16*VLOOKUP($G16,'Рецепты а.б.'!$B$5:$AW$50,EY$67,0)</f>
        <v>#N/A</v>
      </c>
      <c r="EZ16" s="75" t="e">
        <f>$CI16*VLOOKUP($G16,'Рецепты а.б.'!$B$5:$AW$50,EZ$67,0)</f>
        <v>#N/A</v>
      </c>
      <c r="FA16" s="75" t="e">
        <f>$CI16*VLOOKUP($G16,'Рецепты а.б.'!$B$5:$AW$50,FA$67,0)</f>
        <v>#N/A</v>
      </c>
      <c r="FB16" s="75" t="e">
        <f>$CI16*VLOOKUP($G16,'Рецепты а.б.'!$B$5:$AW$50,FB$67,0)</f>
        <v>#N/A</v>
      </c>
      <c r="FC16" s="75" t="e">
        <f>$CI16*VLOOKUP($G16,'Рецепты а.б.'!$B$5:$AW$50,FC$67,0)</f>
        <v>#N/A</v>
      </c>
      <c r="FD16" s="75" t="e">
        <f>$CI16*VLOOKUP($G16,'Рецепты а.б.'!$B$5:$AW$50,FD$67,0)</f>
        <v>#N/A</v>
      </c>
      <c r="FE16" s="75" t="e">
        <f>$CJ16*VLOOKUP($G16,'Рецепты а.б.'!$B$5:$AW$50,FE$67,0)</f>
        <v>#N/A</v>
      </c>
      <c r="FF16" s="75" t="e">
        <f>$CJ16*VLOOKUP($G16,'Рецепты а.б.'!$B$5:$AW$50,FF$67,0)</f>
        <v>#N/A</v>
      </c>
      <c r="FG16" s="75" t="e">
        <f>$CE16*VLOOKUP($G16,'Рецепты а.б.'!$B$5:$AW$50,FG$67,0)</f>
        <v>#N/A</v>
      </c>
      <c r="FH16" s="75" t="e">
        <f>$CE16*VLOOKUP($G16,'Рецепты а.б.'!$B$5:$AW$50,FH$67,0)</f>
        <v>#N/A</v>
      </c>
      <c r="FI16" s="75" t="e">
        <f>$CE16*VLOOKUP($G16,'Рецепты а.б.'!$B$5:$AW$50,FI$67,0)</f>
        <v>#N/A</v>
      </c>
      <c r="FJ16" s="75" t="e">
        <f>$CE16*VLOOKUP($G16,'Рецепты а.б.'!$B$5:$AW$50,FJ$67,0)</f>
        <v>#N/A</v>
      </c>
      <c r="FK16" s="75" t="e">
        <f>$CE16*VLOOKUP($G16,'Рецепты а.б.'!$B$5:$AW$50,FK$67,0)</f>
        <v>#N/A</v>
      </c>
      <c r="FL16" s="75" t="e">
        <f>$CE16*VLOOKUP($G16,'Рецепты а.б.'!$B$5:$AW$50,FL$67,0)</f>
        <v>#N/A</v>
      </c>
      <c r="FM16" s="75" t="e">
        <f>$CE16*VLOOKUP($G16,'Рецепты а.б.'!$B$5:$AW$50,FM$67,0)</f>
        <v>#N/A</v>
      </c>
      <c r="FN16" s="75" t="e">
        <f>$CE16*VLOOKUP($G16,'Рецепты а.б.'!$B$5:$AW$50,FN$67,0)</f>
        <v>#N/A</v>
      </c>
    </row>
    <row r="17" spans="1:170" s="64" customFormat="1" hidden="1" x14ac:dyDescent="0.2">
      <c r="A17" s="127">
        <f t="shared" si="105"/>
        <v>14</v>
      </c>
      <c r="B17" s="344"/>
      <c r="C17" s="344"/>
      <c r="D17" s="344"/>
      <c r="E17" s="420" t="s">
        <v>331</v>
      </c>
      <c r="F17" s="345"/>
      <c r="G17" s="346"/>
      <c r="H17" s="419" t="s">
        <v>206</v>
      </c>
      <c r="I17" s="347"/>
      <c r="J17" s="348"/>
      <c r="K17" s="348"/>
      <c r="L17" s="348"/>
      <c r="M17" s="348"/>
      <c r="N17" s="348"/>
      <c r="O17" s="65">
        <f t="shared" si="193"/>
        <v>0</v>
      </c>
      <c r="P17" s="342">
        <f t="shared" si="5"/>
        <v>0</v>
      </c>
      <c r="Q17" s="342"/>
      <c r="R17" s="342"/>
      <c r="S17" s="342"/>
      <c r="T17" s="65">
        <f t="shared" si="194"/>
        <v>0</v>
      </c>
      <c r="U17" s="66">
        <f t="shared" si="150"/>
        <v>0</v>
      </c>
      <c r="V17" s="66">
        <f t="shared" si="151"/>
        <v>0</v>
      </c>
      <c r="W17" s="349">
        <f t="shared" si="152"/>
        <v>0</v>
      </c>
      <c r="X17" s="350"/>
      <c r="Y17" s="350"/>
      <c r="Z17" s="351"/>
      <c r="AA17" s="66">
        <f t="shared" si="153"/>
        <v>0</v>
      </c>
      <c r="AB17" s="66">
        <f t="shared" si="154"/>
        <v>0</v>
      </c>
      <c r="AC17" s="66">
        <f t="shared" si="155"/>
        <v>0</v>
      </c>
      <c r="AD17" s="66">
        <f t="shared" si="156"/>
        <v>0</v>
      </c>
      <c r="AE17" s="66">
        <f t="shared" si="14"/>
        <v>0</v>
      </c>
      <c r="AF17" s="66">
        <f t="shared" si="15"/>
        <v>0</v>
      </c>
      <c r="AG17" s="66">
        <f t="shared" si="16"/>
        <v>0</v>
      </c>
      <c r="AH17" s="66">
        <f t="shared" si="17"/>
        <v>0</v>
      </c>
      <c r="AI17" s="66">
        <f t="shared" si="18"/>
        <v>0</v>
      </c>
      <c r="AJ17" s="66">
        <f t="shared" ref="AJ17" si="196">SUM(AF17:AI17)</f>
        <v>0</v>
      </c>
      <c r="AK17" s="67">
        <f t="shared" si="158"/>
        <v>0</v>
      </c>
      <c r="AL17" s="67">
        <f t="shared" si="159"/>
        <v>0</v>
      </c>
      <c r="AM17" s="67">
        <f t="shared" si="160"/>
        <v>0</v>
      </c>
      <c r="AN17" s="67">
        <f t="shared" si="23"/>
        <v>0</v>
      </c>
      <c r="AO17" s="66">
        <f t="shared" si="195"/>
        <v>0</v>
      </c>
      <c r="AP17" s="66">
        <f t="shared" si="162"/>
        <v>0</v>
      </c>
      <c r="AQ17" s="66">
        <f t="shared" si="163"/>
        <v>0</v>
      </c>
      <c r="AR17" s="66">
        <f t="shared" si="164"/>
        <v>0</v>
      </c>
      <c r="AS17" s="66">
        <f t="shared" si="165"/>
        <v>0</v>
      </c>
      <c r="AT17" s="66">
        <f t="shared" si="166"/>
        <v>0</v>
      </c>
      <c r="AU17" s="66">
        <f t="shared" si="167"/>
        <v>0</v>
      </c>
      <c r="AV17" s="66">
        <f t="shared" si="168"/>
        <v>0</v>
      </c>
      <c r="AW17" s="66">
        <f t="shared" si="169"/>
        <v>0</v>
      </c>
      <c r="AX17" s="66">
        <f t="shared" si="170"/>
        <v>0</v>
      </c>
      <c r="AY17" s="66">
        <f t="shared" si="171"/>
        <v>0</v>
      </c>
      <c r="AZ17" s="66">
        <f t="shared" si="172"/>
        <v>0</v>
      </c>
      <c r="BA17" s="66">
        <f t="shared" si="173"/>
        <v>0</v>
      </c>
      <c r="BB17" s="66">
        <f t="shared" si="174"/>
        <v>0</v>
      </c>
      <c r="BC17" s="66">
        <f t="shared" si="175"/>
        <v>0</v>
      </c>
      <c r="BD17" s="66">
        <f t="shared" si="176"/>
        <v>0</v>
      </c>
      <c r="BE17" s="66">
        <f t="shared" si="177"/>
        <v>0</v>
      </c>
      <c r="BF17" s="66">
        <f t="shared" si="178"/>
        <v>0</v>
      </c>
      <c r="BG17" s="66">
        <f t="shared" si="179"/>
        <v>0</v>
      </c>
      <c r="BH17" s="66">
        <f t="shared" si="180"/>
        <v>0</v>
      </c>
      <c r="BI17" s="66">
        <f t="shared" si="181"/>
        <v>0</v>
      </c>
      <c r="BJ17" s="68">
        <f t="shared" si="182"/>
        <v>0</v>
      </c>
      <c r="BK17" s="352">
        <v>1</v>
      </c>
      <c r="BL17" s="352">
        <v>12</v>
      </c>
      <c r="BM17" s="263">
        <v>1</v>
      </c>
      <c r="BN17" s="263">
        <v>12</v>
      </c>
      <c r="BO17" s="69">
        <f t="shared" si="183"/>
        <v>42186</v>
      </c>
      <c r="BP17" s="69">
        <f t="shared" si="184"/>
        <v>42552</v>
      </c>
      <c r="BQ17" s="70">
        <f t="shared" si="46"/>
        <v>6.54E-2</v>
      </c>
      <c r="BR17" s="285">
        <f t="shared" si="47"/>
        <v>0.1391</v>
      </c>
      <c r="BS17" s="68">
        <f t="shared" si="185"/>
        <v>0</v>
      </c>
      <c r="BT17" s="68">
        <f t="shared" si="186"/>
        <v>0</v>
      </c>
      <c r="BU17" s="353"/>
      <c r="BV17" s="71" t="e">
        <f t="shared" si="187"/>
        <v>#DIV/0!</v>
      </c>
      <c r="BW17" s="72"/>
      <c r="BX17" s="73" t="e">
        <f t="shared" si="51"/>
        <v>#DIV/0!</v>
      </c>
      <c r="BY17" s="73" t="e">
        <f t="shared" si="52"/>
        <v>#DIV/0!</v>
      </c>
      <c r="BZ17" s="73" t="e">
        <f t="shared" si="53"/>
        <v>#DIV/0!</v>
      </c>
      <c r="CA17" s="73" t="e">
        <f t="shared" si="54"/>
        <v>#DIV/0!</v>
      </c>
      <c r="CB17" s="73" t="e">
        <f t="shared" si="55"/>
        <v>#DIV/0!</v>
      </c>
      <c r="CD17" s="354"/>
      <c r="CE17" s="354"/>
      <c r="CF17" s="354"/>
      <c r="CG17" s="354"/>
      <c r="CH17" s="354"/>
      <c r="CI17" s="354"/>
      <c r="CJ17" s="354"/>
      <c r="CK17" s="354"/>
      <c r="CL17" s="354"/>
      <c r="CM17" s="354"/>
      <c r="CN17" s="354"/>
      <c r="CO17" s="354"/>
      <c r="CP17" s="354"/>
      <c r="CQ17" s="354"/>
      <c r="CR17" s="354"/>
      <c r="CS17" s="354"/>
      <c r="CT17" s="354"/>
      <c r="CU17" s="354"/>
      <c r="CV17" s="354"/>
      <c r="CW17" s="354"/>
      <c r="CX17" s="354"/>
      <c r="CY17" s="354"/>
      <c r="CZ17" s="354"/>
      <c r="DA17" s="354"/>
      <c r="DB17" s="354"/>
      <c r="DC17" s="354"/>
      <c r="DD17" s="95"/>
      <c r="DE17" s="45"/>
      <c r="DF17" s="76"/>
      <c r="DG17" s="77">
        <f t="shared" si="188"/>
        <v>0</v>
      </c>
      <c r="DH17" s="68">
        <f t="shared" si="189"/>
        <v>0</v>
      </c>
      <c r="DI17" s="78"/>
      <c r="DJ17" s="189"/>
      <c r="DL17" s="146">
        <f t="shared" si="58"/>
        <v>0</v>
      </c>
      <c r="DM17" s="146">
        <f t="shared" si="190"/>
        <v>0</v>
      </c>
      <c r="DN17" s="146">
        <f t="shared" si="60"/>
        <v>0</v>
      </c>
      <c r="DO17" s="146">
        <f t="shared" si="61"/>
        <v>0</v>
      </c>
      <c r="DP17" s="146">
        <f t="shared" si="62"/>
        <v>0</v>
      </c>
      <c r="DQ17" s="146">
        <f t="shared" si="63"/>
        <v>0</v>
      </c>
      <c r="DR17" s="146">
        <f t="shared" si="64"/>
        <v>0</v>
      </c>
      <c r="DS17" s="146">
        <f t="shared" si="65"/>
        <v>0</v>
      </c>
      <c r="DT17" s="146">
        <f t="shared" si="66"/>
        <v>0</v>
      </c>
      <c r="DU17" s="146">
        <f t="shared" si="67"/>
        <v>0</v>
      </c>
      <c r="DV17" s="146">
        <f t="shared" si="68"/>
        <v>0</v>
      </c>
      <c r="DW17" s="181">
        <f t="shared" si="69"/>
        <v>0</v>
      </c>
      <c r="DY17" s="183" t="e">
        <f>$CD17*VLOOKUP($G17,'Рецепты а.б.'!$B$5:$AW$50,DY$67,0)</f>
        <v>#N/A</v>
      </c>
      <c r="DZ17" s="75" t="e">
        <f>$CD17*VLOOKUP($G17,'Рецепты а.б.'!$B$5:$AW$50,DZ$67,0)</f>
        <v>#N/A</v>
      </c>
      <c r="EA17" s="75" t="e">
        <f>$CD17*VLOOKUP($G17,'Рецепты а.б.'!$B$5:$AW$50,EA$67,0)</f>
        <v>#N/A</v>
      </c>
      <c r="EB17" s="75" t="e">
        <f>$CD17*VLOOKUP($G17,'Рецепты а.б.'!$B$5:$AW$50,EB$67,0)</f>
        <v>#N/A</v>
      </c>
      <c r="EC17" s="75" t="e">
        <f>$CD17*VLOOKUP($G17,'Рецепты а.б.'!$B$5:$AW$50,EC$67,0)</f>
        <v>#N/A</v>
      </c>
      <c r="ED17" s="75" t="e">
        <f>$CD17*VLOOKUP($G17,'Рецепты а.б.'!$B$5:$AW$50,ED$67,0)</f>
        <v>#N/A</v>
      </c>
      <c r="EE17" s="75" t="e">
        <f>$CD17*VLOOKUP($G17,'Рецепты а.б.'!$B$5:$AW$50,EE$67,0)</f>
        <v>#N/A</v>
      </c>
      <c r="EF17" s="75" t="e">
        <f>$CF17*VLOOKUP($G17,'Рецепты а.б.'!$B$5:$AW$50,EF$67,0)</f>
        <v>#N/A</v>
      </c>
      <c r="EG17" s="75" t="e">
        <f>$CF17*VLOOKUP($G17,'Рецепты а.б.'!$B$5:$AW$50,EG$67,0)</f>
        <v>#N/A</v>
      </c>
      <c r="EH17" s="75" t="e">
        <f>$CF17*VLOOKUP($G17,'Рецепты а.б.'!$B$5:$AW$50,EH$67,0)</f>
        <v>#N/A</v>
      </c>
      <c r="EI17" s="75" t="e">
        <f>$CF17*VLOOKUP($G17,'Рецепты а.б.'!$B$5:$AW$50,EI$67,0)</f>
        <v>#N/A</v>
      </c>
      <c r="EJ17" s="75" t="e">
        <f>$CF17*VLOOKUP($G17,'Рецепты а.б.'!$B$5:$AW$50,EJ$67,0)</f>
        <v>#N/A</v>
      </c>
      <c r="EK17" s="75" t="e">
        <f>$CF17*VLOOKUP($G17,'Рецепты а.б.'!$B$5:$AW$50,EK$67,0)</f>
        <v>#N/A</v>
      </c>
      <c r="EL17" s="75" t="e">
        <f>$CF17*VLOOKUP($G17,'Рецепты а.б.'!$B$5:$AW$50,EL$67,0)</f>
        <v>#N/A</v>
      </c>
      <c r="EM17" s="75" t="e">
        <f>$CG17*VLOOKUP($G17,'Рецепты а.б.'!$B$5:$AW$50,EM$67,0)</f>
        <v>#N/A</v>
      </c>
      <c r="EN17" s="75" t="e">
        <f>$CG17*VLOOKUP($G17,'Рецепты а.б.'!$B$5:$AW$50,EN$67,0)</f>
        <v>#N/A</v>
      </c>
      <c r="EO17" s="75" t="e">
        <f>$CG17*VLOOKUP($G17,'Рецепты а.б.'!$B$5:$AW$50,EO$67,0)</f>
        <v>#N/A</v>
      </c>
      <c r="EP17" s="75" t="e">
        <f>$CG17*VLOOKUP($G17,'Рецепты а.б.'!$B$5:$AW$50,EP$67,0)</f>
        <v>#N/A</v>
      </c>
      <c r="EQ17" s="75" t="e">
        <f>$CG17*VLOOKUP($G17,'Рецепты а.б.'!$B$5:$AW$50,EQ$67,0)</f>
        <v>#N/A</v>
      </c>
      <c r="ER17" s="75" t="e">
        <f>$CG17*VLOOKUP($G17,'Рецепты а.б.'!$B$5:$AW$50,ER$67,0)</f>
        <v>#N/A</v>
      </c>
      <c r="ES17" s="75" t="e">
        <f>$CG17*VLOOKUP($G17,'Рецепты а.б.'!$B$5:$AW$50,ES$67,0)</f>
        <v>#N/A</v>
      </c>
      <c r="ET17" s="75" t="e">
        <f>$CH17*VLOOKUP($G17,'Рецепты а.б.'!$B$5:$AW$50,ET$67,0)</f>
        <v>#N/A</v>
      </c>
      <c r="EU17" s="75" t="e">
        <f>$CH17*VLOOKUP($G17,'Рецепты а.б.'!$B$5:$AW$50,EU$67,0)</f>
        <v>#N/A</v>
      </c>
      <c r="EV17" s="75" t="e">
        <f>$CH17*VLOOKUP($G17,'Рецепты а.б.'!$B$5:$AW$50,EV$67,0)</f>
        <v>#N/A</v>
      </c>
      <c r="EW17" s="75" t="e">
        <f>$CH17*VLOOKUP($G17,'Рецепты а.б.'!$B$5:$AW$50,EW$67,0)</f>
        <v>#N/A</v>
      </c>
      <c r="EX17" s="75" t="e">
        <f>$CH17*VLOOKUP($G17,'Рецепты а.б.'!$B$5:$AW$50,EX$67,0)</f>
        <v>#N/A</v>
      </c>
      <c r="EY17" s="75" t="e">
        <f>$CI17*VLOOKUP($G17,'Рецепты а.б.'!$B$5:$AW$50,EY$67,0)</f>
        <v>#N/A</v>
      </c>
      <c r="EZ17" s="75" t="e">
        <f>$CI17*VLOOKUP($G17,'Рецепты а.б.'!$B$5:$AW$50,EZ$67,0)</f>
        <v>#N/A</v>
      </c>
      <c r="FA17" s="75" t="e">
        <f>$CI17*VLOOKUP($G17,'Рецепты а.б.'!$B$5:$AW$50,FA$67,0)</f>
        <v>#N/A</v>
      </c>
      <c r="FB17" s="75" t="e">
        <f>$CI17*VLOOKUP($G17,'Рецепты а.б.'!$B$5:$AW$50,FB$67,0)</f>
        <v>#N/A</v>
      </c>
      <c r="FC17" s="75" t="e">
        <f>$CI17*VLOOKUP($G17,'Рецепты а.б.'!$B$5:$AW$50,FC$67,0)</f>
        <v>#N/A</v>
      </c>
      <c r="FD17" s="75" t="e">
        <f>$CI17*VLOOKUP($G17,'Рецепты а.б.'!$B$5:$AW$50,FD$67,0)</f>
        <v>#N/A</v>
      </c>
      <c r="FE17" s="75" t="e">
        <f>$CJ17*VLOOKUP($G17,'Рецепты а.б.'!$B$5:$AW$50,FE$67,0)</f>
        <v>#N/A</v>
      </c>
      <c r="FF17" s="75" t="e">
        <f>$CJ17*VLOOKUP($G17,'Рецепты а.б.'!$B$5:$AW$50,FF$67,0)</f>
        <v>#N/A</v>
      </c>
      <c r="FG17" s="75" t="e">
        <f>$CE17*VLOOKUP($G17,'Рецепты а.б.'!$B$5:$AW$50,FG$67,0)</f>
        <v>#N/A</v>
      </c>
      <c r="FH17" s="75" t="e">
        <f>$CE17*VLOOKUP($G17,'Рецепты а.б.'!$B$5:$AW$50,FH$67,0)</f>
        <v>#N/A</v>
      </c>
      <c r="FI17" s="75" t="e">
        <f>$CE17*VLOOKUP($G17,'Рецепты а.б.'!$B$5:$AW$50,FI$67,0)</f>
        <v>#N/A</v>
      </c>
      <c r="FJ17" s="75" t="e">
        <f>$CE17*VLOOKUP($G17,'Рецепты а.б.'!$B$5:$AW$50,FJ$67,0)</f>
        <v>#N/A</v>
      </c>
      <c r="FK17" s="75" t="e">
        <f>$CE17*VLOOKUP($G17,'Рецепты а.б.'!$B$5:$AW$50,FK$67,0)</f>
        <v>#N/A</v>
      </c>
      <c r="FL17" s="75" t="e">
        <f>$CE17*VLOOKUP($G17,'Рецепты а.б.'!$B$5:$AW$50,FL$67,0)</f>
        <v>#N/A</v>
      </c>
      <c r="FM17" s="75" t="e">
        <f>$CE17*VLOOKUP($G17,'Рецепты а.б.'!$B$5:$AW$50,FM$67,0)</f>
        <v>#N/A</v>
      </c>
      <c r="FN17" s="75" t="e">
        <f>$CE17*VLOOKUP($G17,'Рецепты а.б.'!$B$5:$AW$50,FN$67,0)</f>
        <v>#N/A</v>
      </c>
    </row>
    <row r="18" spans="1:170" s="64" customFormat="1" hidden="1" x14ac:dyDescent="0.2">
      <c r="A18" s="127">
        <f t="shared" si="105"/>
        <v>15</v>
      </c>
      <c r="B18" s="344"/>
      <c r="C18" s="344"/>
      <c r="D18" s="344"/>
      <c r="E18" s="420" t="s">
        <v>331</v>
      </c>
      <c r="F18" s="345"/>
      <c r="G18" s="346"/>
      <c r="H18" s="419" t="s">
        <v>206</v>
      </c>
      <c r="I18" s="347"/>
      <c r="J18" s="348"/>
      <c r="K18" s="348"/>
      <c r="L18" s="348"/>
      <c r="M18" s="348"/>
      <c r="N18" s="348"/>
      <c r="O18" s="65">
        <f t="shared" si="193"/>
        <v>0</v>
      </c>
      <c r="P18" s="342">
        <f t="shared" si="5"/>
        <v>0</v>
      </c>
      <c r="Q18" s="342"/>
      <c r="R18" s="342"/>
      <c r="S18" s="342"/>
      <c r="T18" s="65">
        <f t="shared" si="194"/>
        <v>0</v>
      </c>
      <c r="U18" s="66">
        <f t="shared" si="150"/>
        <v>0</v>
      </c>
      <c r="V18" s="66">
        <f t="shared" si="151"/>
        <v>0</v>
      </c>
      <c r="W18" s="349">
        <f t="shared" si="152"/>
        <v>0</v>
      </c>
      <c r="X18" s="350"/>
      <c r="Y18" s="350"/>
      <c r="Z18" s="351"/>
      <c r="AA18" s="66">
        <f t="shared" si="153"/>
        <v>0</v>
      </c>
      <c r="AB18" s="66">
        <f t="shared" si="154"/>
        <v>0</v>
      </c>
      <c r="AC18" s="66">
        <f t="shared" si="155"/>
        <v>0</v>
      </c>
      <c r="AD18" s="66">
        <f t="shared" si="156"/>
        <v>0</v>
      </c>
      <c r="AE18" s="66">
        <f t="shared" si="14"/>
        <v>0</v>
      </c>
      <c r="AF18" s="66">
        <f t="shared" si="15"/>
        <v>0</v>
      </c>
      <c r="AG18" s="66">
        <f t="shared" si="16"/>
        <v>0</v>
      </c>
      <c r="AH18" s="66">
        <f t="shared" si="17"/>
        <v>0</v>
      </c>
      <c r="AI18" s="66">
        <f t="shared" si="18"/>
        <v>0</v>
      </c>
      <c r="AJ18" s="66">
        <f t="shared" ref="AJ18:AJ28" si="197">SUM(AF18:AI18)</f>
        <v>0</v>
      </c>
      <c r="AK18" s="67">
        <f t="shared" si="158"/>
        <v>0</v>
      </c>
      <c r="AL18" s="67">
        <f t="shared" si="159"/>
        <v>0</v>
      </c>
      <c r="AM18" s="67">
        <f t="shared" si="160"/>
        <v>0</v>
      </c>
      <c r="AN18" s="67">
        <f t="shared" si="23"/>
        <v>0</v>
      </c>
      <c r="AO18" s="66">
        <f t="shared" ref="AO18:AO27" si="198">SUM(AK18:AN18)</f>
        <v>0</v>
      </c>
      <c r="AP18" s="66">
        <f t="shared" si="162"/>
        <v>0</v>
      </c>
      <c r="AQ18" s="66">
        <f t="shared" si="163"/>
        <v>0</v>
      </c>
      <c r="AR18" s="66">
        <f t="shared" si="164"/>
        <v>0</v>
      </c>
      <c r="AS18" s="66">
        <f t="shared" si="165"/>
        <v>0</v>
      </c>
      <c r="AT18" s="66">
        <f t="shared" si="166"/>
        <v>0</v>
      </c>
      <c r="AU18" s="66">
        <f t="shared" si="167"/>
        <v>0</v>
      </c>
      <c r="AV18" s="66">
        <f t="shared" si="168"/>
        <v>0</v>
      </c>
      <c r="AW18" s="66">
        <f t="shared" si="169"/>
        <v>0</v>
      </c>
      <c r="AX18" s="66">
        <f t="shared" si="170"/>
        <v>0</v>
      </c>
      <c r="AY18" s="66">
        <f t="shared" si="171"/>
        <v>0</v>
      </c>
      <c r="AZ18" s="66">
        <f t="shared" si="172"/>
        <v>0</v>
      </c>
      <c r="BA18" s="66">
        <f t="shared" si="173"/>
        <v>0</v>
      </c>
      <c r="BB18" s="66">
        <f t="shared" si="174"/>
        <v>0</v>
      </c>
      <c r="BC18" s="66">
        <f t="shared" si="175"/>
        <v>0</v>
      </c>
      <c r="BD18" s="66">
        <f t="shared" si="176"/>
        <v>0</v>
      </c>
      <c r="BE18" s="66">
        <f t="shared" si="177"/>
        <v>0</v>
      </c>
      <c r="BF18" s="66">
        <f t="shared" si="178"/>
        <v>0</v>
      </c>
      <c r="BG18" s="66">
        <f t="shared" si="179"/>
        <v>0</v>
      </c>
      <c r="BH18" s="66">
        <f t="shared" si="180"/>
        <v>0</v>
      </c>
      <c r="BI18" s="66">
        <f t="shared" si="181"/>
        <v>0</v>
      </c>
      <c r="BJ18" s="68">
        <f t="shared" si="182"/>
        <v>0</v>
      </c>
      <c r="BK18" s="352">
        <v>1</v>
      </c>
      <c r="BL18" s="352">
        <v>12</v>
      </c>
      <c r="BM18" s="263">
        <v>1</v>
      </c>
      <c r="BN18" s="263">
        <v>12</v>
      </c>
      <c r="BO18" s="69">
        <f t="shared" si="183"/>
        <v>42186</v>
      </c>
      <c r="BP18" s="69">
        <f t="shared" si="184"/>
        <v>42552</v>
      </c>
      <c r="BQ18" s="70">
        <f t="shared" si="46"/>
        <v>6.54E-2</v>
      </c>
      <c r="BR18" s="285">
        <f t="shared" si="47"/>
        <v>0.1391</v>
      </c>
      <c r="BS18" s="68">
        <f t="shared" si="185"/>
        <v>0</v>
      </c>
      <c r="BT18" s="68">
        <f t="shared" si="186"/>
        <v>0</v>
      </c>
      <c r="BU18" s="353"/>
      <c r="BV18" s="71" t="e">
        <f t="shared" si="187"/>
        <v>#DIV/0!</v>
      </c>
      <c r="BW18" s="72"/>
      <c r="BX18" s="73" t="e">
        <f t="shared" si="51"/>
        <v>#DIV/0!</v>
      </c>
      <c r="BY18" s="73" t="e">
        <f t="shared" si="52"/>
        <v>#DIV/0!</v>
      </c>
      <c r="BZ18" s="73" t="e">
        <f t="shared" si="53"/>
        <v>#DIV/0!</v>
      </c>
      <c r="CA18" s="73" t="e">
        <f t="shared" si="54"/>
        <v>#DIV/0!</v>
      </c>
      <c r="CB18" s="73" t="e">
        <f t="shared" si="55"/>
        <v>#DIV/0!</v>
      </c>
      <c r="CD18" s="354"/>
      <c r="CE18" s="354"/>
      <c r="CF18" s="354"/>
      <c r="CG18" s="354"/>
      <c r="CH18" s="354"/>
      <c r="CI18" s="354"/>
      <c r="CJ18" s="354"/>
      <c r="CK18" s="354"/>
      <c r="CL18" s="354"/>
      <c r="CM18" s="354"/>
      <c r="CN18" s="354"/>
      <c r="CO18" s="354"/>
      <c r="CP18" s="354"/>
      <c r="CQ18" s="354"/>
      <c r="CR18" s="354"/>
      <c r="CS18" s="354"/>
      <c r="CT18" s="354"/>
      <c r="CU18" s="354"/>
      <c r="CV18" s="354"/>
      <c r="CW18" s="354"/>
      <c r="CX18" s="354"/>
      <c r="CY18" s="354"/>
      <c r="CZ18" s="354"/>
      <c r="DA18" s="354"/>
      <c r="DB18" s="354"/>
      <c r="DC18" s="354"/>
      <c r="DD18" s="95"/>
      <c r="DE18" s="45"/>
      <c r="DF18" s="76"/>
      <c r="DG18" s="77">
        <f t="shared" si="188"/>
        <v>0</v>
      </c>
      <c r="DH18" s="68">
        <f t="shared" si="189"/>
        <v>0</v>
      </c>
      <c r="DI18" s="78"/>
      <c r="DJ18" s="189"/>
      <c r="DL18" s="146">
        <f t="shared" si="58"/>
        <v>0</v>
      </c>
      <c r="DM18" s="146">
        <f t="shared" si="190"/>
        <v>0</v>
      </c>
      <c r="DN18" s="146">
        <f t="shared" si="60"/>
        <v>0</v>
      </c>
      <c r="DO18" s="146">
        <f t="shared" si="61"/>
        <v>0</v>
      </c>
      <c r="DP18" s="146">
        <f t="shared" si="62"/>
        <v>0</v>
      </c>
      <c r="DQ18" s="146">
        <f t="shared" si="63"/>
        <v>0</v>
      </c>
      <c r="DR18" s="146">
        <f t="shared" si="64"/>
        <v>0</v>
      </c>
      <c r="DS18" s="146">
        <f t="shared" si="65"/>
        <v>0</v>
      </c>
      <c r="DT18" s="146">
        <f t="shared" si="66"/>
        <v>0</v>
      </c>
      <c r="DU18" s="146">
        <f t="shared" si="67"/>
        <v>0</v>
      </c>
      <c r="DV18" s="146">
        <f t="shared" si="68"/>
        <v>0</v>
      </c>
      <c r="DW18" s="181">
        <f t="shared" si="69"/>
        <v>0</v>
      </c>
      <c r="DY18" s="183" t="e">
        <f>$CD18*VLOOKUP($G18,'Рецепты а.б.'!$B$5:$AW$50,DY$67,0)</f>
        <v>#N/A</v>
      </c>
      <c r="DZ18" s="75" t="e">
        <f>$CD18*VLOOKUP($G18,'Рецепты а.б.'!$B$5:$AW$50,DZ$67,0)</f>
        <v>#N/A</v>
      </c>
      <c r="EA18" s="75" t="e">
        <f>$CD18*VLOOKUP($G18,'Рецепты а.б.'!$B$5:$AW$50,EA$67,0)</f>
        <v>#N/A</v>
      </c>
      <c r="EB18" s="75" t="e">
        <f>$CD18*VLOOKUP($G18,'Рецепты а.б.'!$B$5:$AW$50,EB$67,0)</f>
        <v>#N/A</v>
      </c>
      <c r="EC18" s="75" t="e">
        <f>$CD18*VLOOKUP($G18,'Рецепты а.б.'!$B$5:$AW$50,EC$67,0)</f>
        <v>#N/A</v>
      </c>
      <c r="ED18" s="75" t="e">
        <f>$CD18*VLOOKUP($G18,'Рецепты а.б.'!$B$5:$AW$50,ED$67,0)</f>
        <v>#N/A</v>
      </c>
      <c r="EE18" s="75" t="e">
        <f>$CD18*VLOOKUP($G18,'Рецепты а.б.'!$B$5:$AW$50,EE$67,0)</f>
        <v>#N/A</v>
      </c>
      <c r="EF18" s="75" t="e">
        <f>$CF18*VLOOKUP($G18,'Рецепты а.б.'!$B$5:$AW$50,EF$67,0)</f>
        <v>#N/A</v>
      </c>
      <c r="EG18" s="75" t="e">
        <f>$CF18*VLOOKUP($G18,'Рецепты а.б.'!$B$5:$AW$50,EG$67,0)</f>
        <v>#N/A</v>
      </c>
      <c r="EH18" s="75" t="e">
        <f>$CF18*VLOOKUP($G18,'Рецепты а.б.'!$B$5:$AW$50,EH$67,0)</f>
        <v>#N/A</v>
      </c>
      <c r="EI18" s="75" t="e">
        <f>$CF18*VLOOKUP($G18,'Рецепты а.б.'!$B$5:$AW$50,EI$67,0)</f>
        <v>#N/A</v>
      </c>
      <c r="EJ18" s="75" t="e">
        <f>$CF18*VLOOKUP($G18,'Рецепты а.б.'!$B$5:$AW$50,EJ$67,0)</f>
        <v>#N/A</v>
      </c>
      <c r="EK18" s="75" t="e">
        <f>$CF18*VLOOKUP($G18,'Рецепты а.б.'!$B$5:$AW$50,EK$67,0)</f>
        <v>#N/A</v>
      </c>
      <c r="EL18" s="75" t="e">
        <f>$CF18*VLOOKUP($G18,'Рецепты а.б.'!$B$5:$AW$50,EL$67,0)</f>
        <v>#N/A</v>
      </c>
      <c r="EM18" s="75" t="e">
        <f>$CG18*VLOOKUP($G18,'Рецепты а.б.'!$B$5:$AW$50,EM$67,0)</f>
        <v>#N/A</v>
      </c>
      <c r="EN18" s="75" t="e">
        <f>$CG18*VLOOKUP($G18,'Рецепты а.б.'!$B$5:$AW$50,EN$67,0)</f>
        <v>#N/A</v>
      </c>
      <c r="EO18" s="75" t="e">
        <f>$CG18*VLOOKUP($G18,'Рецепты а.б.'!$B$5:$AW$50,EO$67,0)</f>
        <v>#N/A</v>
      </c>
      <c r="EP18" s="75" t="e">
        <f>$CG18*VLOOKUP($G18,'Рецепты а.б.'!$B$5:$AW$50,EP$67,0)</f>
        <v>#N/A</v>
      </c>
      <c r="EQ18" s="75" t="e">
        <f>$CG18*VLOOKUP($G18,'Рецепты а.б.'!$B$5:$AW$50,EQ$67,0)</f>
        <v>#N/A</v>
      </c>
      <c r="ER18" s="75" t="e">
        <f>$CG18*VLOOKUP($G18,'Рецепты а.б.'!$B$5:$AW$50,ER$67,0)</f>
        <v>#N/A</v>
      </c>
      <c r="ES18" s="75" t="e">
        <f>$CG18*VLOOKUP($G18,'Рецепты а.б.'!$B$5:$AW$50,ES$67,0)</f>
        <v>#N/A</v>
      </c>
      <c r="ET18" s="75" t="e">
        <f>$CH18*VLOOKUP($G18,'Рецепты а.б.'!$B$5:$AW$50,ET$67,0)</f>
        <v>#N/A</v>
      </c>
      <c r="EU18" s="75" t="e">
        <f>$CH18*VLOOKUP($G18,'Рецепты а.б.'!$B$5:$AW$50,EU$67,0)</f>
        <v>#N/A</v>
      </c>
      <c r="EV18" s="75" t="e">
        <f>$CH18*VLOOKUP($G18,'Рецепты а.б.'!$B$5:$AW$50,EV$67,0)</f>
        <v>#N/A</v>
      </c>
      <c r="EW18" s="75" t="e">
        <f>$CH18*VLOOKUP($G18,'Рецепты а.б.'!$B$5:$AW$50,EW$67,0)</f>
        <v>#N/A</v>
      </c>
      <c r="EX18" s="75" t="e">
        <f>$CH18*VLOOKUP($G18,'Рецепты а.б.'!$B$5:$AW$50,EX$67,0)</f>
        <v>#N/A</v>
      </c>
      <c r="EY18" s="75" t="e">
        <f>$CI18*VLOOKUP($G18,'Рецепты а.б.'!$B$5:$AW$50,EY$67,0)</f>
        <v>#N/A</v>
      </c>
      <c r="EZ18" s="75" t="e">
        <f>$CI18*VLOOKUP($G18,'Рецепты а.б.'!$B$5:$AW$50,EZ$67,0)</f>
        <v>#N/A</v>
      </c>
      <c r="FA18" s="75" t="e">
        <f>$CI18*VLOOKUP($G18,'Рецепты а.б.'!$B$5:$AW$50,FA$67,0)</f>
        <v>#N/A</v>
      </c>
      <c r="FB18" s="75" t="e">
        <f>$CI18*VLOOKUP($G18,'Рецепты а.б.'!$B$5:$AW$50,FB$67,0)</f>
        <v>#N/A</v>
      </c>
      <c r="FC18" s="75" t="e">
        <f>$CI18*VLOOKUP($G18,'Рецепты а.б.'!$B$5:$AW$50,FC$67,0)</f>
        <v>#N/A</v>
      </c>
      <c r="FD18" s="75" t="e">
        <f>$CI18*VLOOKUP($G18,'Рецепты а.б.'!$B$5:$AW$50,FD$67,0)</f>
        <v>#N/A</v>
      </c>
      <c r="FE18" s="75" t="e">
        <f>$CJ18*VLOOKUP($G18,'Рецепты а.б.'!$B$5:$AW$50,FE$67,0)</f>
        <v>#N/A</v>
      </c>
      <c r="FF18" s="75" t="e">
        <f>$CJ18*VLOOKUP($G18,'Рецепты а.б.'!$B$5:$AW$50,FF$67,0)</f>
        <v>#N/A</v>
      </c>
      <c r="FG18" s="75" t="e">
        <f>$CE18*VLOOKUP($G18,'Рецепты а.б.'!$B$5:$AW$50,FG$67,0)</f>
        <v>#N/A</v>
      </c>
      <c r="FH18" s="75" t="e">
        <f>$CE18*VLOOKUP($G18,'Рецепты а.б.'!$B$5:$AW$50,FH$67,0)</f>
        <v>#N/A</v>
      </c>
      <c r="FI18" s="75" t="e">
        <f>$CE18*VLOOKUP($G18,'Рецепты а.б.'!$B$5:$AW$50,FI$67,0)</f>
        <v>#N/A</v>
      </c>
      <c r="FJ18" s="75" t="e">
        <f>$CE18*VLOOKUP($G18,'Рецепты а.б.'!$B$5:$AW$50,FJ$67,0)</f>
        <v>#N/A</v>
      </c>
      <c r="FK18" s="75" t="e">
        <f>$CE18*VLOOKUP($G18,'Рецепты а.б.'!$B$5:$AW$50,FK$67,0)</f>
        <v>#N/A</v>
      </c>
      <c r="FL18" s="75" t="e">
        <f>$CE18*VLOOKUP($G18,'Рецепты а.б.'!$B$5:$AW$50,FL$67,0)</f>
        <v>#N/A</v>
      </c>
      <c r="FM18" s="75" t="e">
        <f>$CE18*VLOOKUP($G18,'Рецепты а.б.'!$B$5:$AW$50,FM$67,0)</f>
        <v>#N/A</v>
      </c>
      <c r="FN18" s="75" t="e">
        <f>$CE18*VLOOKUP($G18,'Рецепты а.б.'!$B$5:$AW$50,FN$67,0)</f>
        <v>#N/A</v>
      </c>
    </row>
    <row r="19" spans="1:170" s="64" customFormat="1" hidden="1" x14ac:dyDescent="0.2">
      <c r="A19" s="127">
        <f t="shared" si="105"/>
        <v>16</v>
      </c>
      <c r="B19" s="344"/>
      <c r="C19" s="344"/>
      <c r="D19" s="344"/>
      <c r="E19" s="420" t="s">
        <v>331</v>
      </c>
      <c r="F19" s="345"/>
      <c r="G19" s="346"/>
      <c r="H19" s="419" t="s">
        <v>206</v>
      </c>
      <c r="I19" s="347"/>
      <c r="J19" s="348"/>
      <c r="K19" s="348"/>
      <c r="L19" s="348"/>
      <c r="M19" s="348"/>
      <c r="N19" s="348"/>
      <c r="O19" s="65">
        <f t="shared" si="193"/>
        <v>0</v>
      </c>
      <c r="P19" s="342">
        <f t="shared" si="5"/>
        <v>0</v>
      </c>
      <c r="Q19" s="342"/>
      <c r="R19" s="342"/>
      <c r="S19" s="342"/>
      <c r="T19" s="65">
        <f t="shared" si="194"/>
        <v>0</v>
      </c>
      <c r="U19" s="66">
        <f t="shared" si="150"/>
        <v>0</v>
      </c>
      <c r="V19" s="66">
        <f t="shared" si="151"/>
        <v>0</v>
      </c>
      <c r="W19" s="349">
        <f t="shared" si="152"/>
        <v>0</v>
      </c>
      <c r="X19" s="350"/>
      <c r="Y19" s="350"/>
      <c r="Z19" s="351"/>
      <c r="AA19" s="66">
        <f t="shared" si="153"/>
        <v>0</v>
      </c>
      <c r="AB19" s="66">
        <f t="shared" si="154"/>
        <v>0</v>
      </c>
      <c r="AC19" s="66">
        <f t="shared" si="155"/>
        <v>0</v>
      </c>
      <c r="AD19" s="66">
        <f t="shared" si="156"/>
        <v>0</v>
      </c>
      <c r="AE19" s="66">
        <f t="shared" si="14"/>
        <v>0</v>
      </c>
      <c r="AF19" s="66">
        <f t="shared" si="15"/>
        <v>0</v>
      </c>
      <c r="AG19" s="66">
        <f t="shared" si="16"/>
        <v>0</v>
      </c>
      <c r="AH19" s="66">
        <f t="shared" si="17"/>
        <v>0</v>
      </c>
      <c r="AI19" s="66">
        <f t="shared" si="18"/>
        <v>0</v>
      </c>
      <c r="AJ19" s="66">
        <f t="shared" si="197"/>
        <v>0</v>
      </c>
      <c r="AK19" s="67">
        <f t="shared" si="158"/>
        <v>0</v>
      </c>
      <c r="AL19" s="67">
        <f t="shared" si="159"/>
        <v>0</v>
      </c>
      <c r="AM19" s="67">
        <f t="shared" si="160"/>
        <v>0</v>
      </c>
      <c r="AN19" s="67">
        <f t="shared" si="23"/>
        <v>0</v>
      </c>
      <c r="AO19" s="66">
        <f t="shared" si="198"/>
        <v>0</v>
      </c>
      <c r="AP19" s="66">
        <f t="shared" si="162"/>
        <v>0</v>
      </c>
      <c r="AQ19" s="66">
        <f t="shared" si="163"/>
        <v>0</v>
      </c>
      <c r="AR19" s="66">
        <f t="shared" si="164"/>
        <v>0</v>
      </c>
      <c r="AS19" s="66">
        <f t="shared" si="165"/>
        <v>0</v>
      </c>
      <c r="AT19" s="66">
        <f t="shared" si="166"/>
        <v>0</v>
      </c>
      <c r="AU19" s="66">
        <f t="shared" si="167"/>
        <v>0</v>
      </c>
      <c r="AV19" s="66">
        <f t="shared" si="168"/>
        <v>0</v>
      </c>
      <c r="AW19" s="66">
        <f t="shared" si="169"/>
        <v>0</v>
      </c>
      <c r="AX19" s="66">
        <f t="shared" si="170"/>
        <v>0</v>
      </c>
      <c r="AY19" s="66">
        <f t="shared" si="171"/>
        <v>0</v>
      </c>
      <c r="AZ19" s="66">
        <f t="shared" si="172"/>
        <v>0</v>
      </c>
      <c r="BA19" s="66">
        <f t="shared" si="173"/>
        <v>0</v>
      </c>
      <c r="BB19" s="66">
        <f t="shared" si="174"/>
        <v>0</v>
      </c>
      <c r="BC19" s="66">
        <f t="shared" si="175"/>
        <v>0</v>
      </c>
      <c r="BD19" s="66">
        <f t="shared" si="176"/>
        <v>0</v>
      </c>
      <c r="BE19" s="66">
        <f t="shared" si="177"/>
        <v>0</v>
      </c>
      <c r="BF19" s="66">
        <f t="shared" si="178"/>
        <v>0</v>
      </c>
      <c r="BG19" s="66">
        <f t="shared" si="179"/>
        <v>0</v>
      </c>
      <c r="BH19" s="66">
        <f t="shared" si="180"/>
        <v>0</v>
      </c>
      <c r="BI19" s="66">
        <f t="shared" si="181"/>
        <v>0</v>
      </c>
      <c r="BJ19" s="68">
        <f t="shared" si="182"/>
        <v>0</v>
      </c>
      <c r="BK19" s="352">
        <v>1</v>
      </c>
      <c r="BL19" s="352">
        <v>12</v>
      </c>
      <c r="BM19" s="263">
        <v>1</v>
      </c>
      <c r="BN19" s="263">
        <v>12</v>
      </c>
      <c r="BO19" s="69">
        <f t="shared" si="183"/>
        <v>42186</v>
      </c>
      <c r="BP19" s="69">
        <f t="shared" si="184"/>
        <v>42552</v>
      </c>
      <c r="BQ19" s="70">
        <f t="shared" si="46"/>
        <v>6.54E-2</v>
      </c>
      <c r="BR19" s="285">
        <f t="shared" si="47"/>
        <v>0.1391</v>
      </c>
      <c r="BS19" s="68">
        <f t="shared" si="185"/>
        <v>0</v>
      </c>
      <c r="BT19" s="68">
        <f t="shared" si="186"/>
        <v>0</v>
      </c>
      <c r="BU19" s="353"/>
      <c r="BV19" s="71" t="e">
        <f t="shared" si="187"/>
        <v>#DIV/0!</v>
      </c>
      <c r="BW19" s="72"/>
      <c r="BX19" s="73" t="e">
        <f t="shared" si="51"/>
        <v>#DIV/0!</v>
      </c>
      <c r="BY19" s="73" t="e">
        <f t="shared" si="52"/>
        <v>#DIV/0!</v>
      </c>
      <c r="BZ19" s="73" t="e">
        <f t="shared" si="53"/>
        <v>#DIV/0!</v>
      </c>
      <c r="CA19" s="73" t="e">
        <f t="shared" si="54"/>
        <v>#DIV/0!</v>
      </c>
      <c r="CB19" s="73" t="e">
        <f t="shared" si="55"/>
        <v>#DIV/0!</v>
      </c>
      <c r="CD19" s="354"/>
      <c r="CE19" s="354"/>
      <c r="CF19" s="354"/>
      <c r="CG19" s="354"/>
      <c r="CH19" s="354"/>
      <c r="CI19" s="354"/>
      <c r="CJ19" s="354"/>
      <c r="CK19" s="354"/>
      <c r="CL19" s="354"/>
      <c r="CM19" s="354"/>
      <c r="CN19" s="354"/>
      <c r="CO19" s="354"/>
      <c r="CP19" s="354"/>
      <c r="CQ19" s="354"/>
      <c r="CR19" s="354"/>
      <c r="CS19" s="354"/>
      <c r="CT19" s="354"/>
      <c r="CU19" s="354"/>
      <c r="CV19" s="354"/>
      <c r="CW19" s="354"/>
      <c r="CX19" s="354"/>
      <c r="CY19" s="354"/>
      <c r="CZ19" s="354"/>
      <c r="DA19" s="354"/>
      <c r="DB19" s="354"/>
      <c r="DC19" s="354"/>
      <c r="DD19" s="95"/>
      <c r="DE19" s="45"/>
      <c r="DF19" s="76"/>
      <c r="DG19" s="77">
        <f t="shared" si="188"/>
        <v>0</v>
      </c>
      <c r="DH19" s="68">
        <f t="shared" si="189"/>
        <v>0</v>
      </c>
      <c r="DI19" s="78"/>
      <c r="DJ19" s="189"/>
      <c r="DL19" s="146">
        <f t="shared" si="58"/>
        <v>0</v>
      </c>
      <c r="DM19" s="146">
        <f t="shared" si="190"/>
        <v>0</v>
      </c>
      <c r="DN19" s="146">
        <f t="shared" si="60"/>
        <v>0</v>
      </c>
      <c r="DO19" s="146">
        <f t="shared" si="61"/>
        <v>0</v>
      </c>
      <c r="DP19" s="146">
        <f t="shared" si="62"/>
        <v>0</v>
      </c>
      <c r="DQ19" s="146">
        <f t="shared" si="63"/>
        <v>0</v>
      </c>
      <c r="DR19" s="146">
        <f t="shared" si="64"/>
        <v>0</v>
      </c>
      <c r="DS19" s="146">
        <f t="shared" si="65"/>
        <v>0</v>
      </c>
      <c r="DT19" s="146">
        <f t="shared" si="66"/>
        <v>0</v>
      </c>
      <c r="DU19" s="146">
        <f t="shared" si="67"/>
        <v>0</v>
      </c>
      <c r="DV19" s="146">
        <f t="shared" si="68"/>
        <v>0</v>
      </c>
      <c r="DW19" s="181">
        <f t="shared" si="69"/>
        <v>0</v>
      </c>
      <c r="DY19" s="183" t="e">
        <f>$CD19*VLOOKUP($G19,'Рецепты а.б.'!$B$5:$AW$50,DY$67,0)</f>
        <v>#N/A</v>
      </c>
      <c r="DZ19" s="75" t="e">
        <f>$CD19*VLOOKUP($G19,'Рецепты а.б.'!$B$5:$AW$50,DZ$67,0)</f>
        <v>#N/A</v>
      </c>
      <c r="EA19" s="75" t="e">
        <f>$CD19*VLOOKUP($G19,'Рецепты а.б.'!$B$5:$AW$50,EA$67,0)</f>
        <v>#N/A</v>
      </c>
      <c r="EB19" s="75" t="e">
        <f>$CD19*VLOOKUP($G19,'Рецепты а.б.'!$B$5:$AW$50,EB$67,0)</f>
        <v>#N/A</v>
      </c>
      <c r="EC19" s="75" t="e">
        <f>$CD19*VLOOKUP($G19,'Рецепты а.б.'!$B$5:$AW$50,EC$67,0)</f>
        <v>#N/A</v>
      </c>
      <c r="ED19" s="75" t="e">
        <f>$CD19*VLOOKUP($G19,'Рецепты а.б.'!$B$5:$AW$50,ED$67,0)</f>
        <v>#N/A</v>
      </c>
      <c r="EE19" s="75" t="e">
        <f>$CD19*VLOOKUP($G19,'Рецепты а.б.'!$B$5:$AW$50,EE$67,0)</f>
        <v>#N/A</v>
      </c>
      <c r="EF19" s="75" t="e">
        <f>$CF19*VLOOKUP($G19,'Рецепты а.б.'!$B$5:$AW$50,EF$67,0)</f>
        <v>#N/A</v>
      </c>
      <c r="EG19" s="75" t="e">
        <f>$CF19*VLOOKUP($G19,'Рецепты а.б.'!$B$5:$AW$50,EG$67,0)</f>
        <v>#N/A</v>
      </c>
      <c r="EH19" s="75" t="e">
        <f>$CF19*VLOOKUP($G19,'Рецепты а.б.'!$B$5:$AW$50,EH$67,0)</f>
        <v>#N/A</v>
      </c>
      <c r="EI19" s="75" t="e">
        <f>$CF19*VLOOKUP($G19,'Рецепты а.б.'!$B$5:$AW$50,EI$67,0)</f>
        <v>#N/A</v>
      </c>
      <c r="EJ19" s="75" t="e">
        <f>$CF19*VLOOKUP($G19,'Рецепты а.б.'!$B$5:$AW$50,EJ$67,0)</f>
        <v>#N/A</v>
      </c>
      <c r="EK19" s="75" t="e">
        <f>$CF19*VLOOKUP($G19,'Рецепты а.б.'!$B$5:$AW$50,EK$67,0)</f>
        <v>#N/A</v>
      </c>
      <c r="EL19" s="75" t="e">
        <f>$CF19*VLOOKUP($G19,'Рецепты а.б.'!$B$5:$AW$50,EL$67,0)</f>
        <v>#N/A</v>
      </c>
      <c r="EM19" s="75" t="e">
        <f>$CG19*VLOOKUP($G19,'Рецепты а.б.'!$B$5:$AW$50,EM$67,0)</f>
        <v>#N/A</v>
      </c>
      <c r="EN19" s="75" t="e">
        <f>$CG19*VLOOKUP($G19,'Рецепты а.б.'!$B$5:$AW$50,EN$67,0)</f>
        <v>#N/A</v>
      </c>
      <c r="EO19" s="75" t="e">
        <f>$CG19*VLOOKUP($G19,'Рецепты а.б.'!$B$5:$AW$50,EO$67,0)</f>
        <v>#N/A</v>
      </c>
      <c r="EP19" s="75" t="e">
        <f>$CG19*VLOOKUP($G19,'Рецепты а.б.'!$B$5:$AW$50,EP$67,0)</f>
        <v>#N/A</v>
      </c>
      <c r="EQ19" s="75" t="e">
        <f>$CG19*VLOOKUP($G19,'Рецепты а.б.'!$B$5:$AW$50,EQ$67,0)</f>
        <v>#N/A</v>
      </c>
      <c r="ER19" s="75" t="e">
        <f>$CG19*VLOOKUP($G19,'Рецепты а.б.'!$B$5:$AW$50,ER$67,0)</f>
        <v>#N/A</v>
      </c>
      <c r="ES19" s="75" t="e">
        <f>$CG19*VLOOKUP($G19,'Рецепты а.б.'!$B$5:$AW$50,ES$67,0)</f>
        <v>#N/A</v>
      </c>
      <c r="ET19" s="75" t="e">
        <f>$CH19*VLOOKUP($G19,'Рецепты а.б.'!$B$5:$AW$50,ET$67,0)</f>
        <v>#N/A</v>
      </c>
      <c r="EU19" s="75" t="e">
        <f>$CH19*VLOOKUP($G19,'Рецепты а.б.'!$B$5:$AW$50,EU$67,0)</f>
        <v>#N/A</v>
      </c>
      <c r="EV19" s="75" t="e">
        <f>$CH19*VLOOKUP($G19,'Рецепты а.б.'!$B$5:$AW$50,EV$67,0)</f>
        <v>#N/A</v>
      </c>
      <c r="EW19" s="75" t="e">
        <f>$CH19*VLOOKUP($G19,'Рецепты а.б.'!$B$5:$AW$50,EW$67,0)</f>
        <v>#N/A</v>
      </c>
      <c r="EX19" s="75" t="e">
        <f>$CH19*VLOOKUP($G19,'Рецепты а.б.'!$B$5:$AW$50,EX$67,0)</f>
        <v>#N/A</v>
      </c>
      <c r="EY19" s="75" t="e">
        <f>$CI19*VLOOKUP($G19,'Рецепты а.б.'!$B$5:$AW$50,EY$67,0)</f>
        <v>#N/A</v>
      </c>
      <c r="EZ19" s="75" t="e">
        <f>$CI19*VLOOKUP($G19,'Рецепты а.б.'!$B$5:$AW$50,EZ$67,0)</f>
        <v>#N/A</v>
      </c>
      <c r="FA19" s="75" t="e">
        <f>$CI19*VLOOKUP($G19,'Рецепты а.б.'!$B$5:$AW$50,FA$67,0)</f>
        <v>#N/A</v>
      </c>
      <c r="FB19" s="75" t="e">
        <f>$CI19*VLOOKUP($G19,'Рецепты а.б.'!$B$5:$AW$50,FB$67,0)</f>
        <v>#N/A</v>
      </c>
      <c r="FC19" s="75" t="e">
        <f>$CI19*VLOOKUP($G19,'Рецепты а.б.'!$B$5:$AW$50,FC$67,0)</f>
        <v>#N/A</v>
      </c>
      <c r="FD19" s="75" t="e">
        <f>$CI19*VLOOKUP($G19,'Рецепты а.б.'!$B$5:$AW$50,FD$67,0)</f>
        <v>#N/A</v>
      </c>
      <c r="FE19" s="75" t="e">
        <f>$CJ19*VLOOKUP($G19,'Рецепты а.б.'!$B$5:$AW$50,FE$67,0)</f>
        <v>#N/A</v>
      </c>
      <c r="FF19" s="75" t="e">
        <f>$CJ19*VLOOKUP($G19,'Рецепты а.б.'!$B$5:$AW$50,FF$67,0)</f>
        <v>#N/A</v>
      </c>
      <c r="FG19" s="75" t="e">
        <f>$CE19*VLOOKUP($G19,'Рецепты а.б.'!$B$5:$AW$50,FG$67,0)</f>
        <v>#N/A</v>
      </c>
      <c r="FH19" s="75" t="e">
        <f>$CE19*VLOOKUP($G19,'Рецепты а.б.'!$B$5:$AW$50,FH$67,0)</f>
        <v>#N/A</v>
      </c>
      <c r="FI19" s="75" t="e">
        <f>$CE19*VLOOKUP($G19,'Рецепты а.б.'!$B$5:$AW$50,FI$67,0)</f>
        <v>#N/A</v>
      </c>
      <c r="FJ19" s="75" t="e">
        <f>$CE19*VLOOKUP($G19,'Рецепты а.б.'!$B$5:$AW$50,FJ$67,0)</f>
        <v>#N/A</v>
      </c>
      <c r="FK19" s="75" t="e">
        <f>$CE19*VLOOKUP($G19,'Рецепты а.б.'!$B$5:$AW$50,FK$67,0)</f>
        <v>#N/A</v>
      </c>
      <c r="FL19" s="75" t="e">
        <f>$CE19*VLOOKUP($G19,'Рецепты а.б.'!$B$5:$AW$50,FL$67,0)</f>
        <v>#N/A</v>
      </c>
      <c r="FM19" s="75" t="e">
        <f>$CE19*VLOOKUP($G19,'Рецепты а.б.'!$B$5:$AW$50,FM$67,0)</f>
        <v>#N/A</v>
      </c>
      <c r="FN19" s="75" t="e">
        <f>$CE19*VLOOKUP($G19,'Рецепты а.б.'!$B$5:$AW$50,FN$67,0)</f>
        <v>#N/A</v>
      </c>
    </row>
    <row r="20" spans="1:170" s="64" customFormat="1" hidden="1" x14ac:dyDescent="0.2">
      <c r="A20" s="127">
        <f t="shared" si="105"/>
        <v>17</v>
      </c>
      <c r="B20" s="344"/>
      <c r="C20" s="344"/>
      <c r="D20" s="344"/>
      <c r="E20" s="420" t="s">
        <v>331</v>
      </c>
      <c r="F20" s="345"/>
      <c r="G20" s="346"/>
      <c r="H20" s="419" t="s">
        <v>206</v>
      </c>
      <c r="I20" s="347"/>
      <c r="J20" s="348"/>
      <c r="K20" s="348"/>
      <c r="L20" s="348"/>
      <c r="M20" s="348"/>
      <c r="N20" s="348"/>
      <c r="O20" s="65">
        <f t="shared" ref="O20:O27" si="199">SUM(J20:N20)</f>
        <v>0</v>
      </c>
      <c r="P20" s="342">
        <f t="shared" si="5"/>
        <v>0</v>
      </c>
      <c r="Q20" s="342"/>
      <c r="R20" s="342"/>
      <c r="S20" s="342"/>
      <c r="T20" s="65">
        <f t="shared" ref="T20:T27" si="200">SUM(P20:S20)</f>
        <v>0</v>
      </c>
      <c r="U20" s="66">
        <f t="shared" si="150"/>
        <v>0</v>
      </c>
      <c r="V20" s="66">
        <f t="shared" si="151"/>
        <v>0</v>
      </c>
      <c r="W20" s="349">
        <f t="shared" si="152"/>
        <v>0</v>
      </c>
      <c r="X20" s="350"/>
      <c r="Y20" s="350"/>
      <c r="Z20" s="351"/>
      <c r="AA20" s="66">
        <f t="shared" si="153"/>
        <v>0</v>
      </c>
      <c r="AB20" s="66">
        <f t="shared" si="154"/>
        <v>0</v>
      </c>
      <c r="AC20" s="66">
        <f t="shared" si="155"/>
        <v>0</v>
      </c>
      <c r="AD20" s="66">
        <f t="shared" si="156"/>
        <v>0</v>
      </c>
      <c r="AE20" s="66">
        <f t="shared" si="14"/>
        <v>0</v>
      </c>
      <c r="AF20" s="66">
        <f t="shared" si="15"/>
        <v>0</v>
      </c>
      <c r="AG20" s="66">
        <f t="shared" si="16"/>
        <v>0</v>
      </c>
      <c r="AH20" s="66">
        <f t="shared" si="17"/>
        <v>0</v>
      </c>
      <c r="AI20" s="66">
        <f t="shared" si="18"/>
        <v>0</v>
      </c>
      <c r="AJ20" s="66">
        <f t="shared" si="197"/>
        <v>0</v>
      </c>
      <c r="AK20" s="67">
        <f t="shared" si="158"/>
        <v>0</v>
      </c>
      <c r="AL20" s="67">
        <f t="shared" si="159"/>
        <v>0</v>
      </c>
      <c r="AM20" s="67">
        <f t="shared" si="160"/>
        <v>0</v>
      </c>
      <c r="AN20" s="67">
        <f t="shared" si="23"/>
        <v>0</v>
      </c>
      <c r="AO20" s="66">
        <f t="shared" si="198"/>
        <v>0</v>
      </c>
      <c r="AP20" s="66">
        <f t="shared" si="162"/>
        <v>0</v>
      </c>
      <c r="AQ20" s="66">
        <f t="shared" si="163"/>
        <v>0</v>
      </c>
      <c r="AR20" s="66">
        <f t="shared" si="164"/>
        <v>0</v>
      </c>
      <c r="AS20" s="66">
        <f t="shared" si="165"/>
        <v>0</v>
      </c>
      <c r="AT20" s="66">
        <f t="shared" si="166"/>
        <v>0</v>
      </c>
      <c r="AU20" s="66">
        <f t="shared" si="167"/>
        <v>0</v>
      </c>
      <c r="AV20" s="66">
        <f t="shared" si="168"/>
        <v>0</v>
      </c>
      <c r="AW20" s="66">
        <f t="shared" si="169"/>
        <v>0</v>
      </c>
      <c r="AX20" s="66">
        <f t="shared" si="170"/>
        <v>0</v>
      </c>
      <c r="AY20" s="66">
        <f t="shared" si="171"/>
        <v>0</v>
      </c>
      <c r="AZ20" s="66">
        <f t="shared" si="172"/>
        <v>0</v>
      </c>
      <c r="BA20" s="66">
        <f t="shared" si="173"/>
        <v>0</v>
      </c>
      <c r="BB20" s="66">
        <f t="shared" si="174"/>
        <v>0</v>
      </c>
      <c r="BC20" s="66">
        <f t="shared" si="175"/>
        <v>0</v>
      </c>
      <c r="BD20" s="66">
        <f t="shared" si="176"/>
        <v>0</v>
      </c>
      <c r="BE20" s="66">
        <f t="shared" si="177"/>
        <v>0</v>
      </c>
      <c r="BF20" s="66">
        <f t="shared" si="178"/>
        <v>0</v>
      </c>
      <c r="BG20" s="66">
        <f t="shared" si="179"/>
        <v>0</v>
      </c>
      <c r="BH20" s="66">
        <f t="shared" si="180"/>
        <v>0</v>
      </c>
      <c r="BI20" s="66">
        <f t="shared" si="181"/>
        <v>0</v>
      </c>
      <c r="BJ20" s="68">
        <f t="shared" si="182"/>
        <v>0</v>
      </c>
      <c r="BK20" s="352">
        <v>1</v>
      </c>
      <c r="BL20" s="352">
        <v>12</v>
      </c>
      <c r="BM20" s="263">
        <v>1</v>
      </c>
      <c r="BN20" s="263">
        <v>12</v>
      </c>
      <c r="BO20" s="69">
        <f t="shared" si="183"/>
        <v>42186</v>
      </c>
      <c r="BP20" s="69">
        <f t="shared" si="184"/>
        <v>42552</v>
      </c>
      <c r="BQ20" s="70">
        <f t="shared" si="46"/>
        <v>6.54E-2</v>
      </c>
      <c r="BR20" s="285">
        <f t="shared" si="47"/>
        <v>0.1391</v>
      </c>
      <c r="BS20" s="68">
        <f t="shared" si="185"/>
        <v>0</v>
      </c>
      <c r="BT20" s="68">
        <f t="shared" si="186"/>
        <v>0</v>
      </c>
      <c r="BU20" s="353"/>
      <c r="BV20" s="71" t="e">
        <f t="shared" si="187"/>
        <v>#DIV/0!</v>
      </c>
      <c r="BW20" s="72"/>
      <c r="BX20" s="73" t="e">
        <f t="shared" si="51"/>
        <v>#DIV/0!</v>
      </c>
      <c r="BY20" s="73" t="e">
        <f t="shared" si="52"/>
        <v>#DIV/0!</v>
      </c>
      <c r="BZ20" s="73" t="e">
        <f t="shared" si="53"/>
        <v>#DIV/0!</v>
      </c>
      <c r="CA20" s="73" t="e">
        <f t="shared" si="54"/>
        <v>#DIV/0!</v>
      </c>
      <c r="CB20" s="73" t="e">
        <f t="shared" si="55"/>
        <v>#DIV/0!</v>
      </c>
      <c r="CD20" s="354"/>
      <c r="CE20" s="354"/>
      <c r="CF20" s="354"/>
      <c r="CG20" s="354"/>
      <c r="CH20" s="354"/>
      <c r="CI20" s="354"/>
      <c r="CJ20" s="354"/>
      <c r="CK20" s="354"/>
      <c r="CL20" s="354"/>
      <c r="CM20" s="354"/>
      <c r="CN20" s="354"/>
      <c r="CO20" s="354"/>
      <c r="CP20" s="354"/>
      <c r="CQ20" s="354"/>
      <c r="CR20" s="354"/>
      <c r="CS20" s="354"/>
      <c r="CT20" s="354"/>
      <c r="CU20" s="354"/>
      <c r="CV20" s="354"/>
      <c r="CW20" s="354"/>
      <c r="CX20" s="354"/>
      <c r="CY20" s="354"/>
      <c r="CZ20" s="354"/>
      <c r="DA20" s="354"/>
      <c r="DB20" s="354"/>
      <c r="DC20" s="354"/>
      <c r="DD20" s="95"/>
      <c r="DE20" s="45"/>
      <c r="DF20" s="76"/>
      <c r="DG20" s="77">
        <f t="shared" si="188"/>
        <v>0</v>
      </c>
      <c r="DH20" s="68">
        <f t="shared" si="189"/>
        <v>0</v>
      </c>
      <c r="DI20" s="78"/>
      <c r="DJ20" s="189"/>
      <c r="DL20" s="146">
        <f t="shared" si="58"/>
        <v>0</v>
      </c>
      <c r="DM20" s="146">
        <f t="shared" si="190"/>
        <v>0</v>
      </c>
      <c r="DN20" s="146">
        <f t="shared" si="60"/>
        <v>0</v>
      </c>
      <c r="DO20" s="146">
        <f t="shared" si="61"/>
        <v>0</v>
      </c>
      <c r="DP20" s="146">
        <f t="shared" si="62"/>
        <v>0</v>
      </c>
      <c r="DQ20" s="146">
        <f t="shared" si="63"/>
        <v>0</v>
      </c>
      <c r="DR20" s="146">
        <f t="shared" si="64"/>
        <v>0</v>
      </c>
      <c r="DS20" s="146">
        <f t="shared" si="65"/>
        <v>0</v>
      </c>
      <c r="DT20" s="146">
        <f t="shared" si="66"/>
        <v>0</v>
      </c>
      <c r="DU20" s="146">
        <f t="shared" si="67"/>
        <v>0</v>
      </c>
      <c r="DV20" s="146">
        <f t="shared" si="68"/>
        <v>0</v>
      </c>
      <c r="DW20" s="181">
        <f t="shared" si="69"/>
        <v>0</v>
      </c>
      <c r="DY20" s="183" t="e">
        <f>$CD20*VLOOKUP($G20,'Рецепты а.б.'!$B$5:$AW$50,DY$67,0)</f>
        <v>#N/A</v>
      </c>
      <c r="DZ20" s="75" t="e">
        <f>$CD20*VLOOKUP($G20,'Рецепты а.б.'!$B$5:$AW$50,DZ$67,0)</f>
        <v>#N/A</v>
      </c>
      <c r="EA20" s="75" t="e">
        <f>$CD20*VLOOKUP($G20,'Рецепты а.б.'!$B$5:$AW$50,EA$67,0)</f>
        <v>#N/A</v>
      </c>
      <c r="EB20" s="75" t="e">
        <f>$CD20*VLOOKUP($G20,'Рецепты а.б.'!$B$5:$AW$50,EB$67,0)</f>
        <v>#N/A</v>
      </c>
      <c r="EC20" s="75" t="e">
        <f>$CD20*VLOOKUP($G20,'Рецепты а.б.'!$B$5:$AW$50,EC$67,0)</f>
        <v>#N/A</v>
      </c>
      <c r="ED20" s="75" t="e">
        <f>$CD20*VLOOKUP($G20,'Рецепты а.б.'!$B$5:$AW$50,ED$67,0)</f>
        <v>#N/A</v>
      </c>
      <c r="EE20" s="75" t="e">
        <f>$CD20*VLOOKUP($G20,'Рецепты а.б.'!$B$5:$AW$50,EE$67,0)</f>
        <v>#N/A</v>
      </c>
      <c r="EF20" s="75" t="e">
        <f>$CF20*VLOOKUP($G20,'Рецепты а.б.'!$B$5:$AW$50,EF$67,0)</f>
        <v>#N/A</v>
      </c>
      <c r="EG20" s="75" t="e">
        <f>$CF20*VLOOKUP($G20,'Рецепты а.б.'!$B$5:$AW$50,EG$67,0)</f>
        <v>#N/A</v>
      </c>
      <c r="EH20" s="75" t="e">
        <f>$CF20*VLOOKUP($G20,'Рецепты а.б.'!$B$5:$AW$50,EH$67,0)</f>
        <v>#N/A</v>
      </c>
      <c r="EI20" s="75" t="e">
        <f>$CF20*VLOOKUP($G20,'Рецепты а.б.'!$B$5:$AW$50,EI$67,0)</f>
        <v>#N/A</v>
      </c>
      <c r="EJ20" s="75" t="e">
        <f>$CF20*VLOOKUP($G20,'Рецепты а.б.'!$B$5:$AW$50,EJ$67,0)</f>
        <v>#N/A</v>
      </c>
      <c r="EK20" s="75" t="e">
        <f>$CF20*VLOOKUP($G20,'Рецепты а.б.'!$B$5:$AW$50,EK$67,0)</f>
        <v>#N/A</v>
      </c>
      <c r="EL20" s="75" t="e">
        <f>$CF20*VLOOKUP($G20,'Рецепты а.б.'!$B$5:$AW$50,EL$67,0)</f>
        <v>#N/A</v>
      </c>
      <c r="EM20" s="75" t="e">
        <f>$CG20*VLOOKUP($G20,'Рецепты а.б.'!$B$5:$AW$50,EM$67,0)</f>
        <v>#N/A</v>
      </c>
      <c r="EN20" s="75" t="e">
        <f>$CG20*VLOOKUP($G20,'Рецепты а.б.'!$B$5:$AW$50,EN$67,0)</f>
        <v>#N/A</v>
      </c>
      <c r="EO20" s="75" t="e">
        <f>$CG20*VLOOKUP($G20,'Рецепты а.б.'!$B$5:$AW$50,EO$67,0)</f>
        <v>#N/A</v>
      </c>
      <c r="EP20" s="75" t="e">
        <f>$CG20*VLOOKUP($G20,'Рецепты а.б.'!$B$5:$AW$50,EP$67,0)</f>
        <v>#N/A</v>
      </c>
      <c r="EQ20" s="75" t="e">
        <f>$CG20*VLOOKUP($G20,'Рецепты а.б.'!$B$5:$AW$50,EQ$67,0)</f>
        <v>#N/A</v>
      </c>
      <c r="ER20" s="75" t="e">
        <f>$CG20*VLOOKUP($G20,'Рецепты а.б.'!$B$5:$AW$50,ER$67,0)</f>
        <v>#N/A</v>
      </c>
      <c r="ES20" s="75" t="e">
        <f>$CG20*VLOOKUP($G20,'Рецепты а.б.'!$B$5:$AW$50,ES$67,0)</f>
        <v>#N/A</v>
      </c>
      <c r="ET20" s="75" t="e">
        <f>$CH20*VLOOKUP($G20,'Рецепты а.б.'!$B$5:$AW$50,ET$67,0)</f>
        <v>#N/A</v>
      </c>
      <c r="EU20" s="75" t="e">
        <f>$CH20*VLOOKUP($G20,'Рецепты а.б.'!$B$5:$AW$50,EU$67,0)</f>
        <v>#N/A</v>
      </c>
      <c r="EV20" s="75" t="e">
        <f>$CH20*VLOOKUP($G20,'Рецепты а.б.'!$B$5:$AW$50,EV$67,0)</f>
        <v>#N/A</v>
      </c>
      <c r="EW20" s="75" t="e">
        <f>$CH20*VLOOKUP($G20,'Рецепты а.б.'!$B$5:$AW$50,EW$67,0)</f>
        <v>#N/A</v>
      </c>
      <c r="EX20" s="75" t="e">
        <f>$CH20*VLOOKUP($G20,'Рецепты а.б.'!$B$5:$AW$50,EX$67,0)</f>
        <v>#N/A</v>
      </c>
      <c r="EY20" s="75" t="e">
        <f>$CI20*VLOOKUP($G20,'Рецепты а.б.'!$B$5:$AW$50,EY$67,0)</f>
        <v>#N/A</v>
      </c>
      <c r="EZ20" s="75" t="e">
        <f>$CI20*VLOOKUP($G20,'Рецепты а.б.'!$B$5:$AW$50,EZ$67,0)</f>
        <v>#N/A</v>
      </c>
      <c r="FA20" s="75" t="e">
        <f>$CI20*VLOOKUP($G20,'Рецепты а.б.'!$B$5:$AW$50,FA$67,0)</f>
        <v>#N/A</v>
      </c>
      <c r="FB20" s="75" t="e">
        <f>$CI20*VLOOKUP($G20,'Рецепты а.б.'!$B$5:$AW$50,FB$67,0)</f>
        <v>#N/A</v>
      </c>
      <c r="FC20" s="75" t="e">
        <f>$CI20*VLOOKUP($G20,'Рецепты а.б.'!$B$5:$AW$50,FC$67,0)</f>
        <v>#N/A</v>
      </c>
      <c r="FD20" s="75" t="e">
        <f>$CI20*VLOOKUP($G20,'Рецепты а.б.'!$B$5:$AW$50,FD$67,0)</f>
        <v>#N/A</v>
      </c>
      <c r="FE20" s="75" t="e">
        <f>$CJ20*VLOOKUP($G20,'Рецепты а.б.'!$B$5:$AW$50,FE$67,0)</f>
        <v>#N/A</v>
      </c>
      <c r="FF20" s="75" t="e">
        <f>$CJ20*VLOOKUP($G20,'Рецепты а.б.'!$B$5:$AW$50,FF$67,0)</f>
        <v>#N/A</v>
      </c>
      <c r="FG20" s="75" t="e">
        <f>$CE20*VLOOKUP($G20,'Рецепты а.б.'!$B$5:$AW$50,FG$67,0)</f>
        <v>#N/A</v>
      </c>
      <c r="FH20" s="75" t="e">
        <f>$CE20*VLOOKUP($G20,'Рецепты а.б.'!$B$5:$AW$50,FH$67,0)</f>
        <v>#N/A</v>
      </c>
      <c r="FI20" s="75" t="e">
        <f>$CE20*VLOOKUP($G20,'Рецепты а.б.'!$B$5:$AW$50,FI$67,0)</f>
        <v>#N/A</v>
      </c>
      <c r="FJ20" s="75" t="e">
        <f>$CE20*VLOOKUP($G20,'Рецепты а.б.'!$B$5:$AW$50,FJ$67,0)</f>
        <v>#N/A</v>
      </c>
      <c r="FK20" s="75" t="e">
        <f>$CE20*VLOOKUP($G20,'Рецепты а.б.'!$B$5:$AW$50,FK$67,0)</f>
        <v>#N/A</v>
      </c>
      <c r="FL20" s="75" t="e">
        <f>$CE20*VLOOKUP($G20,'Рецепты а.б.'!$B$5:$AW$50,FL$67,0)</f>
        <v>#N/A</v>
      </c>
      <c r="FM20" s="75" t="e">
        <f>$CE20*VLOOKUP($G20,'Рецепты а.б.'!$B$5:$AW$50,FM$67,0)</f>
        <v>#N/A</v>
      </c>
      <c r="FN20" s="75" t="e">
        <f>$CE20*VLOOKUP($G20,'Рецепты а.б.'!$B$5:$AW$50,FN$67,0)</f>
        <v>#N/A</v>
      </c>
    </row>
    <row r="21" spans="1:170" s="64" customFormat="1" hidden="1" x14ac:dyDescent="0.2">
      <c r="A21" s="127">
        <f t="shared" si="105"/>
        <v>18</v>
      </c>
      <c r="B21" s="344"/>
      <c r="C21" s="344"/>
      <c r="D21" s="344"/>
      <c r="E21" s="420" t="s">
        <v>331</v>
      </c>
      <c r="F21" s="345"/>
      <c r="G21" s="346"/>
      <c r="H21" s="419" t="s">
        <v>206</v>
      </c>
      <c r="I21" s="347"/>
      <c r="J21" s="348"/>
      <c r="K21" s="348"/>
      <c r="L21" s="348"/>
      <c r="M21" s="348"/>
      <c r="N21" s="348"/>
      <c r="O21" s="65">
        <f t="shared" si="199"/>
        <v>0</v>
      </c>
      <c r="P21" s="342">
        <f t="shared" si="5"/>
        <v>0</v>
      </c>
      <c r="Q21" s="342"/>
      <c r="R21" s="342"/>
      <c r="S21" s="342"/>
      <c r="T21" s="65">
        <f t="shared" si="200"/>
        <v>0</v>
      </c>
      <c r="U21" s="66">
        <f t="shared" si="150"/>
        <v>0</v>
      </c>
      <c r="V21" s="66">
        <f t="shared" si="151"/>
        <v>0</v>
      </c>
      <c r="W21" s="349">
        <f t="shared" si="152"/>
        <v>0</v>
      </c>
      <c r="X21" s="350"/>
      <c r="Y21" s="350"/>
      <c r="Z21" s="351"/>
      <c r="AA21" s="66">
        <f t="shared" si="153"/>
        <v>0</v>
      </c>
      <c r="AB21" s="66">
        <f t="shared" si="154"/>
        <v>0</v>
      </c>
      <c r="AC21" s="66">
        <f t="shared" si="155"/>
        <v>0</v>
      </c>
      <c r="AD21" s="66">
        <f t="shared" si="156"/>
        <v>0</v>
      </c>
      <c r="AE21" s="66">
        <f t="shared" si="14"/>
        <v>0</v>
      </c>
      <c r="AF21" s="66">
        <f t="shared" si="15"/>
        <v>0</v>
      </c>
      <c r="AG21" s="66">
        <f t="shared" si="16"/>
        <v>0</v>
      </c>
      <c r="AH21" s="66">
        <f t="shared" si="17"/>
        <v>0</v>
      </c>
      <c r="AI21" s="66">
        <f t="shared" si="18"/>
        <v>0</v>
      </c>
      <c r="AJ21" s="66">
        <f t="shared" si="197"/>
        <v>0</v>
      </c>
      <c r="AK21" s="67">
        <f t="shared" si="158"/>
        <v>0</v>
      </c>
      <c r="AL21" s="67">
        <f t="shared" si="159"/>
        <v>0</v>
      </c>
      <c r="AM21" s="67">
        <f t="shared" si="160"/>
        <v>0</v>
      </c>
      <c r="AN21" s="67">
        <f t="shared" si="23"/>
        <v>0</v>
      </c>
      <c r="AO21" s="66">
        <f t="shared" si="198"/>
        <v>0</v>
      </c>
      <c r="AP21" s="66">
        <f t="shared" si="162"/>
        <v>0</v>
      </c>
      <c r="AQ21" s="66">
        <f t="shared" si="163"/>
        <v>0</v>
      </c>
      <c r="AR21" s="66">
        <f t="shared" si="164"/>
        <v>0</v>
      </c>
      <c r="AS21" s="66">
        <f t="shared" si="165"/>
        <v>0</v>
      </c>
      <c r="AT21" s="66">
        <f t="shared" si="166"/>
        <v>0</v>
      </c>
      <c r="AU21" s="66">
        <f t="shared" si="167"/>
        <v>0</v>
      </c>
      <c r="AV21" s="66">
        <f t="shared" si="168"/>
        <v>0</v>
      </c>
      <c r="AW21" s="66">
        <f t="shared" si="169"/>
        <v>0</v>
      </c>
      <c r="AX21" s="66">
        <f t="shared" si="170"/>
        <v>0</v>
      </c>
      <c r="AY21" s="66">
        <f t="shared" si="171"/>
        <v>0</v>
      </c>
      <c r="AZ21" s="66">
        <f t="shared" si="172"/>
        <v>0</v>
      </c>
      <c r="BA21" s="66">
        <f t="shared" si="173"/>
        <v>0</v>
      </c>
      <c r="BB21" s="66">
        <f t="shared" si="174"/>
        <v>0</v>
      </c>
      <c r="BC21" s="66">
        <f t="shared" si="175"/>
        <v>0</v>
      </c>
      <c r="BD21" s="66">
        <f t="shared" si="176"/>
        <v>0</v>
      </c>
      <c r="BE21" s="66">
        <f t="shared" si="177"/>
        <v>0</v>
      </c>
      <c r="BF21" s="66">
        <f t="shared" si="178"/>
        <v>0</v>
      </c>
      <c r="BG21" s="66">
        <f t="shared" si="179"/>
        <v>0</v>
      </c>
      <c r="BH21" s="66">
        <f t="shared" si="180"/>
        <v>0</v>
      </c>
      <c r="BI21" s="66">
        <f t="shared" si="181"/>
        <v>0</v>
      </c>
      <c r="BJ21" s="68">
        <f t="shared" si="182"/>
        <v>0</v>
      </c>
      <c r="BK21" s="352">
        <v>1</v>
      </c>
      <c r="BL21" s="352">
        <v>12</v>
      </c>
      <c r="BM21" s="263">
        <v>1</v>
      </c>
      <c r="BN21" s="263">
        <v>12</v>
      </c>
      <c r="BO21" s="69">
        <f t="shared" si="183"/>
        <v>42186</v>
      </c>
      <c r="BP21" s="69">
        <f t="shared" si="184"/>
        <v>42552</v>
      </c>
      <c r="BQ21" s="70">
        <f t="shared" si="46"/>
        <v>6.54E-2</v>
      </c>
      <c r="BR21" s="285">
        <f t="shared" si="47"/>
        <v>0.1391</v>
      </c>
      <c r="BS21" s="68">
        <f t="shared" si="185"/>
        <v>0</v>
      </c>
      <c r="BT21" s="68">
        <f t="shared" si="186"/>
        <v>0</v>
      </c>
      <c r="BU21" s="353"/>
      <c r="BV21" s="71" t="e">
        <f t="shared" si="187"/>
        <v>#DIV/0!</v>
      </c>
      <c r="BW21" s="72"/>
      <c r="BX21" s="73" t="e">
        <f t="shared" si="51"/>
        <v>#DIV/0!</v>
      </c>
      <c r="BY21" s="73" t="e">
        <f t="shared" si="52"/>
        <v>#DIV/0!</v>
      </c>
      <c r="BZ21" s="73" t="e">
        <f t="shared" si="53"/>
        <v>#DIV/0!</v>
      </c>
      <c r="CA21" s="73" t="e">
        <f t="shared" si="54"/>
        <v>#DIV/0!</v>
      </c>
      <c r="CB21" s="73" t="e">
        <f t="shared" si="55"/>
        <v>#DIV/0!</v>
      </c>
      <c r="CD21" s="354"/>
      <c r="CE21" s="354"/>
      <c r="CF21" s="354"/>
      <c r="CG21" s="354"/>
      <c r="CH21" s="354"/>
      <c r="CI21" s="354"/>
      <c r="CJ21" s="354"/>
      <c r="CK21" s="354"/>
      <c r="CL21" s="354"/>
      <c r="CM21" s="354"/>
      <c r="CN21" s="354"/>
      <c r="CO21" s="354"/>
      <c r="CP21" s="354"/>
      <c r="CQ21" s="354"/>
      <c r="CR21" s="354"/>
      <c r="CS21" s="354"/>
      <c r="CT21" s="354"/>
      <c r="CU21" s="354"/>
      <c r="CV21" s="354"/>
      <c r="CW21" s="354"/>
      <c r="CX21" s="354"/>
      <c r="CY21" s="354"/>
      <c r="CZ21" s="354"/>
      <c r="DA21" s="354"/>
      <c r="DB21" s="354"/>
      <c r="DC21" s="354"/>
      <c r="DD21" s="95"/>
      <c r="DE21" s="45"/>
      <c r="DF21" s="76"/>
      <c r="DG21" s="77">
        <f t="shared" si="188"/>
        <v>0</v>
      </c>
      <c r="DH21" s="68">
        <f t="shared" si="189"/>
        <v>0</v>
      </c>
      <c r="DI21" s="78"/>
      <c r="DJ21" s="189"/>
      <c r="DL21" s="146">
        <f t="shared" si="58"/>
        <v>0</v>
      </c>
      <c r="DM21" s="146">
        <f t="shared" si="190"/>
        <v>0</v>
      </c>
      <c r="DN21" s="146">
        <f t="shared" si="60"/>
        <v>0</v>
      </c>
      <c r="DO21" s="146">
        <f t="shared" si="61"/>
        <v>0</v>
      </c>
      <c r="DP21" s="146">
        <f t="shared" si="62"/>
        <v>0</v>
      </c>
      <c r="DQ21" s="146">
        <f t="shared" si="63"/>
        <v>0</v>
      </c>
      <c r="DR21" s="146">
        <f t="shared" si="64"/>
        <v>0</v>
      </c>
      <c r="DS21" s="146">
        <f t="shared" si="65"/>
        <v>0</v>
      </c>
      <c r="DT21" s="146">
        <f t="shared" si="66"/>
        <v>0</v>
      </c>
      <c r="DU21" s="146">
        <f t="shared" si="67"/>
        <v>0</v>
      </c>
      <c r="DV21" s="146">
        <f t="shared" si="68"/>
        <v>0</v>
      </c>
      <c r="DW21" s="181">
        <f t="shared" si="69"/>
        <v>0</v>
      </c>
      <c r="DY21" s="183" t="e">
        <f>$CD21*VLOOKUP($G21,'Рецепты а.б.'!$B$5:$AW$50,DY$67,0)</f>
        <v>#N/A</v>
      </c>
      <c r="DZ21" s="75" t="e">
        <f>$CD21*VLOOKUP($G21,'Рецепты а.б.'!$B$5:$AW$50,DZ$67,0)</f>
        <v>#N/A</v>
      </c>
      <c r="EA21" s="75" t="e">
        <f>$CD21*VLOOKUP($G21,'Рецепты а.б.'!$B$5:$AW$50,EA$67,0)</f>
        <v>#N/A</v>
      </c>
      <c r="EB21" s="75" t="e">
        <f>$CD21*VLOOKUP($G21,'Рецепты а.б.'!$B$5:$AW$50,EB$67,0)</f>
        <v>#N/A</v>
      </c>
      <c r="EC21" s="75" t="e">
        <f>$CD21*VLOOKUP($G21,'Рецепты а.б.'!$B$5:$AW$50,EC$67,0)</f>
        <v>#N/A</v>
      </c>
      <c r="ED21" s="75" t="e">
        <f>$CD21*VLOOKUP($G21,'Рецепты а.б.'!$B$5:$AW$50,ED$67,0)</f>
        <v>#N/A</v>
      </c>
      <c r="EE21" s="75" t="e">
        <f>$CD21*VLOOKUP($G21,'Рецепты а.б.'!$B$5:$AW$50,EE$67,0)</f>
        <v>#N/A</v>
      </c>
      <c r="EF21" s="75" t="e">
        <f>$CF21*VLOOKUP($G21,'Рецепты а.б.'!$B$5:$AW$50,EF$67,0)</f>
        <v>#N/A</v>
      </c>
      <c r="EG21" s="75" t="e">
        <f>$CF21*VLOOKUP($G21,'Рецепты а.б.'!$B$5:$AW$50,EG$67,0)</f>
        <v>#N/A</v>
      </c>
      <c r="EH21" s="75" t="e">
        <f>$CF21*VLOOKUP($G21,'Рецепты а.б.'!$B$5:$AW$50,EH$67,0)</f>
        <v>#N/A</v>
      </c>
      <c r="EI21" s="75" t="e">
        <f>$CF21*VLOOKUP($G21,'Рецепты а.б.'!$B$5:$AW$50,EI$67,0)</f>
        <v>#N/A</v>
      </c>
      <c r="EJ21" s="75" t="e">
        <f>$CF21*VLOOKUP($G21,'Рецепты а.б.'!$B$5:$AW$50,EJ$67,0)</f>
        <v>#N/A</v>
      </c>
      <c r="EK21" s="75" t="e">
        <f>$CF21*VLOOKUP($G21,'Рецепты а.б.'!$B$5:$AW$50,EK$67,0)</f>
        <v>#N/A</v>
      </c>
      <c r="EL21" s="75" t="e">
        <f>$CF21*VLOOKUP($G21,'Рецепты а.б.'!$B$5:$AW$50,EL$67,0)</f>
        <v>#N/A</v>
      </c>
      <c r="EM21" s="75" t="e">
        <f>$CG21*VLOOKUP($G21,'Рецепты а.б.'!$B$5:$AW$50,EM$67,0)</f>
        <v>#N/A</v>
      </c>
      <c r="EN21" s="75" t="e">
        <f>$CG21*VLOOKUP($G21,'Рецепты а.б.'!$B$5:$AW$50,EN$67,0)</f>
        <v>#N/A</v>
      </c>
      <c r="EO21" s="75" t="e">
        <f>$CG21*VLOOKUP($G21,'Рецепты а.б.'!$B$5:$AW$50,EO$67,0)</f>
        <v>#N/A</v>
      </c>
      <c r="EP21" s="75" t="e">
        <f>$CG21*VLOOKUP($G21,'Рецепты а.б.'!$B$5:$AW$50,EP$67,0)</f>
        <v>#N/A</v>
      </c>
      <c r="EQ21" s="75" t="e">
        <f>$CG21*VLOOKUP($G21,'Рецепты а.б.'!$B$5:$AW$50,EQ$67,0)</f>
        <v>#N/A</v>
      </c>
      <c r="ER21" s="75" t="e">
        <f>$CG21*VLOOKUP($G21,'Рецепты а.б.'!$B$5:$AW$50,ER$67,0)</f>
        <v>#N/A</v>
      </c>
      <c r="ES21" s="75" t="e">
        <f>$CG21*VLOOKUP($G21,'Рецепты а.б.'!$B$5:$AW$50,ES$67,0)</f>
        <v>#N/A</v>
      </c>
      <c r="ET21" s="75" t="e">
        <f>$CH21*VLOOKUP($G21,'Рецепты а.б.'!$B$5:$AW$50,ET$67,0)</f>
        <v>#N/A</v>
      </c>
      <c r="EU21" s="75" t="e">
        <f>$CH21*VLOOKUP($G21,'Рецепты а.б.'!$B$5:$AW$50,EU$67,0)</f>
        <v>#N/A</v>
      </c>
      <c r="EV21" s="75" t="e">
        <f>$CH21*VLOOKUP($G21,'Рецепты а.б.'!$B$5:$AW$50,EV$67,0)</f>
        <v>#N/A</v>
      </c>
      <c r="EW21" s="75" t="e">
        <f>$CH21*VLOOKUP($G21,'Рецепты а.б.'!$B$5:$AW$50,EW$67,0)</f>
        <v>#N/A</v>
      </c>
      <c r="EX21" s="75" t="e">
        <f>$CH21*VLOOKUP($G21,'Рецепты а.б.'!$B$5:$AW$50,EX$67,0)</f>
        <v>#N/A</v>
      </c>
      <c r="EY21" s="75" t="e">
        <f>$CI21*VLOOKUP($G21,'Рецепты а.б.'!$B$5:$AW$50,EY$67,0)</f>
        <v>#N/A</v>
      </c>
      <c r="EZ21" s="75" t="e">
        <f>$CI21*VLOOKUP($G21,'Рецепты а.б.'!$B$5:$AW$50,EZ$67,0)</f>
        <v>#N/A</v>
      </c>
      <c r="FA21" s="75" t="e">
        <f>$CI21*VLOOKUP($G21,'Рецепты а.б.'!$B$5:$AW$50,FA$67,0)</f>
        <v>#N/A</v>
      </c>
      <c r="FB21" s="75" t="e">
        <f>$CI21*VLOOKUP($G21,'Рецепты а.б.'!$B$5:$AW$50,FB$67,0)</f>
        <v>#N/A</v>
      </c>
      <c r="FC21" s="75" t="e">
        <f>$CI21*VLOOKUP($G21,'Рецепты а.б.'!$B$5:$AW$50,FC$67,0)</f>
        <v>#N/A</v>
      </c>
      <c r="FD21" s="75" t="e">
        <f>$CI21*VLOOKUP($G21,'Рецепты а.б.'!$B$5:$AW$50,FD$67,0)</f>
        <v>#N/A</v>
      </c>
      <c r="FE21" s="75" t="e">
        <f>$CJ21*VLOOKUP($G21,'Рецепты а.б.'!$B$5:$AW$50,FE$67,0)</f>
        <v>#N/A</v>
      </c>
      <c r="FF21" s="75" t="e">
        <f>$CJ21*VLOOKUP($G21,'Рецепты а.б.'!$B$5:$AW$50,FF$67,0)</f>
        <v>#N/A</v>
      </c>
      <c r="FG21" s="75" t="e">
        <f>$CE21*VLOOKUP($G21,'Рецепты а.б.'!$B$5:$AW$50,FG$67,0)</f>
        <v>#N/A</v>
      </c>
      <c r="FH21" s="75" t="e">
        <f>$CE21*VLOOKUP($G21,'Рецепты а.б.'!$B$5:$AW$50,FH$67,0)</f>
        <v>#N/A</v>
      </c>
      <c r="FI21" s="75" t="e">
        <f>$CE21*VLOOKUP($G21,'Рецепты а.б.'!$B$5:$AW$50,FI$67,0)</f>
        <v>#N/A</v>
      </c>
      <c r="FJ21" s="75" t="e">
        <f>$CE21*VLOOKUP($G21,'Рецепты а.б.'!$B$5:$AW$50,FJ$67,0)</f>
        <v>#N/A</v>
      </c>
      <c r="FK21" s="75" t="e">
        <f>$CE21*VLOOKUP($G21,'Рецепты а.б.'!$B$5:$AW$50,FK$67,0)</f>
        <v>#N/A</v>
      </c>
      <c r="FL21" s="75" t="e">
        <f>$CE21*VLOOKUP($G21,'Рецепты а.б.'!$B$5:$AW$50,FL$67,0)</f>
        <v>#N/A</v>
      </c>
      <c r="FM21" s="75" t="e">
        <f>$CE21*VLOOKUP($G21,'Рецепты а.б.'!$B$5:$AW$50,FM$67,0)</f>
        <v>#N/A</v>
      </c>
      <c r="FN21" s="75" t="e">
        <f>$CE21*VLOOKUP($G21,'Рецепты а.б.'!$B$5:$AW$50,FN$67,0)</f>
        <v>#N/A</v>
      </c>
    </row>
    <row r="22" spans="1:170" s="64" customFormat="1" hidden="1" x14ac:dyDescent="0.2">
      <c r="A22" s="127">
        <f t="shared" si="105"/>
        <v>19</v>
      </c>
      <c r="B22" s="344"/>
      <c r="C22" s="344"/>
      <c r="D22" s="344"/>
      <c r="E22" s="420" t="s">
        <v>331</v>
      </c>
      <c r="F22" s="345"/>
      <c r="G22" s="346"/>
      <c r="H22" s="419" t="s">
        <v>206</v>
      </c>
      <c r="I22" s="347"/>
      <c r="J22" s="348"/>
      <c r="K22" s="348"/>
      <c r="L22" s="348"/>
      <c r="M22" s="348"/>
      <c r="N22" s="348"/>
      <c r="O22" s="65">
        <f t="shared" si="199"/>
        <v>0</v>
      </c>
      <c r="P22" s="342">
        <f t="shared" si="5"/>
        <v>0</v>
      </c>
      <c r="Q22" s="342"/>
      <c r="R22" s="342"/>
      <c r="S22" s="342"/>
      <c r="T22" s="65">
        <f t="shared" si="200"/>
        <v>0</v>
      </c>
      <c r="U22" s="66">
        <f t="shared" si="150"/>
        <v>0</v>
      </c>
      <c r="V22" s="66">
        <f t="shared" si="151"/>
        <v>0</v>
      </c>
      <c r="W22" s="349">
        <f t="shared" si="152"/>
        <v>0</v>
      </c>
      <c r="X22" s="350"/>
      <c r="Y22" s="350"/>
      <c r="Z22" s="351"/>
      <c r="AA22" s="66">
        <f t="shared" si="153"/>
        <v>0</v>
      </c>
      <c r="AB22" s="66">
        <f t="shared" si="154"/>
        <v>0</v>
      </c>
      <c r="AC22" s="66">
        <f t="shared" si="155"/>
        <v>0</v>
      </c>
      <c r="AD22" s="66">
        <f t="shared" si="156"/>
        <v>0</v>
      </c>
      <c r="AE22" s="66">
        <f t="shared" si="14"/>
        <v>0</v>
      </c>
      <c r="AF22" s="66">
        <f t="shared" si="15"/>
        <v>0</v>
      </c>
      <c r="AG22" s="66">
        <f t="shared" si="16"/>
        <v>0</v>
      </c>
      <c r="AH22" s="66">
        <f t="shared" si="17"/>
        <v>0</v>
      </c>
      <c r="AI22" s="66">
        <f t="shared" si="18"/>
        <v>0</v>
      </c>
      <c r="AJ22" s="66">
        <f t="shared" si="197"/>
        <v>0</v>
      </c>
      <c r="AK22" s="67">
        <f t="shared" si="158"/>
        <v>0</v>
      </c>
      <c r="AL22" s="67">
        <f t="shared" si="159"/>
        <v>0</v>
      </c>
      <c r="AM22" s="67">
        <f t="shared" si="160"/>
        <v>0</v>
      </c>
      <c r="AN22" s="67">
        <f t="shared" si="23"/>
        <v>0</v>
      </c>
      <c r="AO22" s="66">
        <f t="shared" si="198"/>
        <v>0</v>
      </c>
      <c r="AP22" s="66">
        <f t="shared" si="162"/>
        <v>0</v>
      </c>
      <c r="AQ22" s="66">
        <f t="shared" si="163"/>
        <v>0</v>
      </c>
      <c r="AR22" s="66">
        <f t="shared" si="164"/>
        <v>0</v>
      </c>
      <c r="AS22" s="66">
        <f t="shared" si="165"/>
        <v>0</v>
      </c>
      <c r="AT22" s="66">
        <f t="shared" si="166"/>
        <v>0</v>
      </c>
      <c r="AU22" s="66">
        <f t="shared" si="167"/>
        <v>0</v>
      </c>
      <c r="AV22" s="66">
        <f t="shared" si="168"/>
        <v>0</v>
      </c>
      <c r="AW22" s="66">
        <f t="shared" si="169"/>
        <v>0</v>
      </c>
      <c r="AX22" s="66">
        <f t="shared" si="170"/>
        <v>0</v>
      </c>
      <c r="AY22" s="66">
        <f t="shared" si="171"/>
        <v>0</v>
      </c>
      <c r="AZ22" s="66">
        <f t="shared" si="172"/>
        <v>0</v>
      </c>
      <c r="BA22" s="66">
        <f t="shared" si="173"/>
        <v>0</v>
      </c>
      <c r="BB22" s="66">
        <f t="shared" si="174"/>
        <v>0</v>
      </c>
      <c r="BC22" s="66">
        <f t="shared" si="175"/>
        <v>0</v>
      </c>
      <c r="BD22" s="66">
        <f t="shared" si="176"/>
        <v>0</v>
      </c>
      <c r="BE22" s="66">
        <f t="shared" si="177"/>
        <v>0</v>
      </c>
      <c r="BF22" s="66">
        <f t="shared" si="178"/>
        <v>0</v>
      </c>
      <c r="BG22" s="66">
        <f t="shared" si="179"/>
        <v>0</v>
      </c>
      <c r="BH22" s="66">
        <f t="shared" si="180"/>
        <v>0</v>
      </c>
      <c r="BI22" s="66">
        <f t="shared" si="181"/>
        <v>0</v>
      </c>
      <c r="BJ22" s="68">
        <f t="shared" si="182"/>
        <v>0</v>
      </c>
      <c r="BK22" s="352">
        <v>1</v>
      </c>
      <c r="BL22" s="352">
        <v>12</v>
      </c>
      <c r="BM22" s="263">
        <v>1</v>
      </c>
      <c r="BN22" s="263">
        <v>12</v>
      </c>
      <c r="BO22" s="69">
        <f t="shared" si="183"/>
        <v>42186</v>
      </c>
      <c r="BP22" s="69">
        <f t="shared" si="184"/>
        <v>42552</v>
      </c>
      <c r="BQ22" s="70">
        <f t="shared" si="46"/>
        <v>6.54E-2</v>
      </c>
      <c r="BR22" s="285">
        <f t="shared" si="47"/>
        <v>0.1391</v>
      </c>
      <c r="BS22" s="68">
        <f t="shared" si="185"/>
        <v>0</v>
      </c>
      <c r="BT22" s="68">
        <f t="shared" si="186"/>
        <v>0</v>
      </c>
      <c r="BU22" s="353"/>
      <c r="BV22" s="71" t="e">
        <f t="shared" si="187"/>
        <v>#DIV/0!</v>
      </c>
      <c r="BW22" s="72"/>
      <c r="BX22" s="73" t="e">
        <f t="shared" si="51"/>
        <v>#DIV/0!</v>
      </c>
      <c r="BY22" s="73" t="e">
        <f t="shared" si="52"/>
        <v>#DIV/0!</v>
      </c>
      <c r="BZ22" s="73" t="e">
        <f t="shared" si="53"/>
        <v>#DIV/0!</v>
      </c>
      <c r="CA22" s="73" t="e">
        <f t="shared" si="54"/>
        <v>#DIV/0!</v>
      </c>
      <c r="CB22" s="73" t="e">
        <f t="shared" si="55"/>
        <v>#DIV/0!</v>
      </c>
      <c r="CD22" s="354"/>
      <c r="CE22" s="354"/>
      <c r="CF22" s="354"/>
      <c r="CG22" s="354"/>
      <c r="CH22" s="354"/>
      <c r="CI22" s="354"/>
      <c r="CJ22" s="354"/>
      <c r="CK22" s="354"/>
      <c r="CL22" s="354"/>
      <c r="CM22" s="354"/>
      <c r="CN22" s="354"/>
      <c r="CO22" s="354"/>
      <c r="CP22" s="354"/>
      <c r="CQ22" s="354"/>
      <c r="CR22" s="354"/>
      <c r="CS22" s="354"/>
      <c r="CT22" s="354"/>
      <c r="CU22" s="354"/>
      <c r="CV22" s="354"/>
      <c r="CW22" s="354"/>
      <c r="CX22" s="354"/>
      <c r="CY22" s="354"/>
      <c r="CZ22" s="354"/>
      <c r="DA22" s="354"/>
      <c r="DB22" s="354"/>
      <c r="DC22" s="354"/>
      <c r="DD22" s="95"/>
      <c r="DE22" s="45"/>
      <c r="DF22" s="76"/>
      <c r="DG22" s="77">
        <f t="shared" si="188"/>
        <v>0</v>
      </c>
      <c r="DH22" s="68">
        <f t="shared" si="189"/>
        <v>0</v>
      </c>
      <c r="DI22" s="78"/>
      <c r="DJ22" s="189"/>
      <c r="DL22" s="146">
        <f t="shared" si="58"/>
        <v>0</v>
      </c>
      <c r="DM22" s="146">
        <f t="shared" si="190"/>
        <v>0</v>
      </c>
      <c r="DN22" s="146">
        <f t="shared" si="60"/>
        <v>0</v>
      </c>
      <c r="DO22" s="146">
        <f t="shared" si="61"/>
        <v>0</v>
      </c>
      <c r="DP22" s="146">
        <f t="shared" si="62"/>
        <v>0</v>
      </c>
      <c r="DQ22" s="146">
        <f t="shared" si="63"/>
        <v>0</v>
      </c>
      <c r="DR22" s="146">
        <f t="shared" si="64"/>
        <v>0</v>
      </c>
      <c r="DS22" s="146">
        <f t="shared" si="65"/>
        <v>0</v>
      </c>
      <c r="DT22" s="146">
        <f t="shared" si="66"/>
        <v>0</v>
      </c>
      <c r="DU22" s="146">
        <f t="shared" si="67"/>
        <v>0</v>
      </c>
      <c r="DV22" s="146">
        <f t="shared" si="68"/>
        <v>0</v>
      </c>
      <c r="DW22" s="181">
        <f t="shared" si="69"/>
        <v>0</v>
      </c>
      <c r="DY22" s="183" t="e">
        <f>$CD22*VLOOKUP($G22,'Рецепты а.б.'!$B$5:$AW$50,DY$67,0)</f>
        <v>#N/A</v>
      </c>
      <c r="DZ22" s="75" t="e">
        <f>$CD22*VLOOKUP($G22,'Рецепты а.б.'!$B$5:$AW$50,DZ$67,0)</f>
        <v>#N/A</v>
      </c>
      <c r="EA22" s="75" t="e">
        <f>$CD22*VLOOKUP($G22,'Рецепты а.б.'!$B$5:$AW$50,EA$67,0)</f>
        <v>#N/A</v>
      </c>
      <c r="EB22" s="75" t="e">
        <f>$CD22*VLOOKUP($G22,'Рецепты а.б.'!$B$5:$AW$50,EB$67,0)</f>
        <v>#N/A</v>
      </c>
      <c r="EC22" s="75" t="e">
        <f>$CD22*VLOOKUP($G22,'Рецепты а.б.'!$B$5:$AW$50,EC$67,0)</f>
        <v>#N/A</v>
      </c>
      <c r="ED22" s="75" t="e">
        <f>$CD22*VLOOKUP($G22,'Рецепты а.б.'!$B$5:$AW$50,ED$67,0)</f>
        <v>#N/A</v>
      </c>
      <c r="EE22" s="75" t="e">
        <f>$CD22*VLOOKUP($G22,'Рецепты а.б.'!$B$5:$AW$50,EE$67,0)</f>
        <v>#N/A</v>
      </c>
      <c r="EF22" s="75" t="e">
        <f>$CF22*VLOOKUP($G22,'Рецепты а.б.'!$B$5:$AW$50,EF$67,0)</f>
        <v>#N/A</v>
      </c>
      <c r="EG22" s="75" t="e">
        <f>$CF22*VLOOKUP($G22,'Рецепты а.б.'!$B$5:$AW$50,EG$67,0)</f>
        <v>#N/A</v>
      </c>
      <c r="EH22" s="75" t="e">
        <f>$CF22*VLOOKUP($G22,'Рецепты а.б.'!$B$5:$AW$50,EH$67,0)</f>
        <v>#N/A</v>
      </c>
      <c r="EI22" s="75" t="e">
        <f>$CF22*VLOOKUP($G22,'Рецепты а.б.'!$B$5:$AW$50,EI$67,0)</f>
        <v>#N/A</v>
      </c>
      <c r="EJ22" s="75" t="e">
        <f>$CF22*VLOOKUP($G22,'Рецепты а.б.'!$B$5:$AW$50,EJ$67,0)</f>
        <v>#N/A</v>
      </c>
      <c r="EK22" s="75" t="e">
        <f>$CF22*VLOOKUP($G22,'Рецепты а.б.'!$B$5:$AW$50,EK$67,0)</f>
        <v>#N/A</v>
      </c>
      <c r="EL22" s="75" t="e">
        <f>$CF22*VLOOKUP($G22,'Рецепты а.б.'!$B$5:$AW$50,EL$67,0)</f>
        <v>#N/A</v>
      </c>
      <c r="EM22" s="75" t="e">
        <f>$CG22*VLOOKUP($G22,'Рецепты а.б.'!$B$5:$AW$50,EM$67,0)</f>
        <v>#N/A</v>
      </c>
      <c r="EN22" s="75" t="e">
        <f>$CG22*VLOOKUP($G22,'Рецепты а.б.'!$B$5:$AW$50,EN$67,0)</f>
        <v>#N/A</v>
      </c>
      <c r="EO22" s="75" t="e">
        <f>$CG22*VLOOKUP($G22,'Рецепты а.б.'!$B$5:$AW$50,EO$67,0)</f>
        <v>#N/A</v>
      </c>
      <c r="EP22" s="75" t="e">
        <f>$CG22*VLOOKUP($G22,'Рецепты а.б.'!$B$5:$AW$50,EP$67,0)</f>
        <v>#N/A</v>
      </c>
      <c r="EQ22" s="75" t="e">
        <f>$CG22*VLOOKUP($G22,'Рецепты а.б.'!$B$5:$AW$50,EQ$67,0)</f>
        <v>#N/A</v>
      </c>
      <c r="ER22" s="75" t="e">
        <f>$CG22*VLOOKUP($G22,'Рецепты а.б.'!$B$5:$AW$50,ER$67,0)</f>
        <v>#N/A</v>
      </c>
      <c r="ES22" s="75" t="e">
        <f>$CG22*VLOOKUP($G22,'Рецепты а.б.'!$B$5:$AW$50,ES$67,0)</f>
        <v>#N/A</v>
      </c>
      <c r="ET22" s="75" t="e">
        <f>$CH22*VLOOKUP($G22,'Рецепты а.б.'!$B$5:$AW$50,ET$67,0)</f>
        <v>#N/A</v>
      </c>
      <c r="EU22" s="75" t="e">
        <f>$CH22*VLOOKUP($G22,'Рецепты а.б.'!$B$5:$AW$50,EU$67,0)</f>
        <v>#N/A</v>
      </c>
      <c r="EV22" s="75" t="e">
        <f>$CH22*VLOOKUP($G22,'Рецепты а.б.'!$B$5:$AW$50,EV$67,0)</f>
        <v>#N/A</v>
      </c>
      <c r="EW22" s="75" t="e">
        <f>$CH22*VLOOKUP($G22,'Рецепты а.б.'!$B$5:$AW$50,EW$67,0)</f>
        <v>#N/A</v>
      </c>
      <c r="EX22" s="75" t="e">
        <f>$CH22*VLOOKUP($G22,'Рецепты а.б.'!$B$5:$AW$50,EX$67,0)</f>
        <v>#N/A</v>
      </c>
      <c r="EY22" s="75" t="e">
        <f>$CI22*VLOOKUP($G22,'Рецепты а.б.'!$B$5:$AW$50,EY$67,0)</f>
        <v>#N/A</v>
      </c>
      <c r="EZ22" s="75" t="e">
        <f>$CI22*VLOOKUP($G22,'Рецепты а.б.'!$B$5:$AW$50,EZ$67,0)</f>
        <v>#N/A</v>
      </c>
      <c r="FA22" s="75" t="e">
        <f>$CI22*VLOOKUP($G22,'Рецепты а.б.'!$B$5:$AW$50,FA$67,0)</f>
        <v>#N/A</v>
      </c>
      <c r="FB22" s="75" t="e">
        <f>$CI22*VLOOKUP($G22,'Рецепты а.б.'!$B$5:$AW$50,FB$67,0)</f>
        <v>#N/A</v>
      </c>
      <c r="FC22" s="75" t="e">
        <f>$CI22*VLOOKUP($G22,'Рецепты а.б.'!$B$5:$AW$50,FC$67,0)</f>
        <v>#N/A</v>
      </c>
      <c r="FD22" s="75" t="e">
        <f>$CI22*VLOOKUP($G22,'Рецепты а.б.'!$B$5:$AW$50,FD$67,0)</f>
        <v>#N/A</v>
      </c>
      <c r="FE22" s="75" t="e">
        <f>$CJ22*VLOOKUP($G22,'Рецепты а.б.'!$B$5:$AW$50,FE$67,0)</f>
        <v>#N/A</v>
      </c>
      <c r="FF22" s="75" t="e">
        <f>$CJ22*VLOOKUP($G22,'Рецепты а.б.'!$B$5:$AW$50,FF$67,0)</f>
        <v>#N/A</v>
      </c>
      <c r="FG22" s="75" t="e">
        <f>$CE22*VLOOKUP($G22,'Рецепты а.б.'!$B$5:$AW$50,FG$67,0)</f>
        <v>#N/A</v>
      </c>
      <c r="FH22" s="75" t="e">
        <f>$CE22*VLOOKUP($G22,'Рецепты а.б.'!$B$5:$AW$50,FH$67,0)</f>
        <v>#N/A</v>
      </c>
      <c r="FI22" s="75" t="e">
        <f>$CE22*VLOOKUP($G22,'Рецепты а.б.'!$B$5:$AW$50,FI$67,0)</f>
        <v>#N/A</v>
      </c>
      <c r="FJ22" s="75" t="e">
        <f>$CE22*VLOOKUP($G22,'Рецепты а.б.'!$B$5:$AW$50,FJ$67,0)</f>
        <v>#N/A</v>
      </c>
      <c r="FK22" s="75" t="e">
        <f>$CE22*VLOOKUP($G22,'Рецепты а.б.'!$B$5:$AW$50,FK$67,0)</f>
        <v>#N/A</v>
      </c>
      <c r="FL22" s="75" t="e">
        <f>$CE22*VLOOKUP($G22,'Рецепты а.б.'!$B$5:$AW$50,FL$67,0)</f>
        <v>#N/A</v>
      </c>
      <c r="FM22" s="75" t="e">
        <f>$CE22*VLOOKUP($G22,'Рецепты а.б.'!$B$5:$AW$50,FM$67,0)</f>
        <v>#N/A</v>
      </c>
      <c r="FN22" s="75" t="e">
        <f>$CE22*VLOOKUP($G22,'Рецепты а.б.'!$B$5:$AW$50,FN$67,0)</f>
        <v>#N/A</v>
      </c>
    </row>
    <row r="23" spans="1:170" s="64" customFormat="1" hidden="1" x14ac:dyDescent="0.2">
      <c r="A23" s="127">
        <f t="shared" si="105"/>
        <v>20</v>
      </c>
      <c r="B23" s="344"/>
      <c r="C23" s="344"/>
      <c r="D23" s="344"/>
      <c r="E23" s="420" t="s">
        <v>331</v>
      </c>
      <c r="F23" s="345"/>
      <c r="G23" s="346"/>
      <c r="H23" s="419" t="s">
        <v>206</v>
      </c>
      <c r="I23" s="347"/>
      <c r="J23" s="348"/>
      <c r="K23" s="348"/>
      <c r="L23" s="348"/>
      <c r="M23" s="348"/>
      <c r="N23" s="348"/>
      <c r="O23" s="65">
        <f t="shared" si="199"/>
        <v>0</v>
      </c>
      <c r="P23" s="342">
        <f t="shared" si="5"/>
        <v>0</v>
      </c>
      <c r="Q23" s="342"/>
      <c r="R23" s="342"/>
      <c r="S23" s="342"/>
      <c r="T23" s="65">
        <f t="shared" si="200"/>
        <v>0</v>
      </c>
      <c r="U23" s="66">
        <f t="shared" si="150"/>
        <v>0</v>
      </c>
      <c r="V23" s="66">
        <f t="shared" si="151"/>
        <v>0</v>
      </c>
      <c r="W23" s="349">
        <f t="shared" si="152"/>
        <v>0</v>
      </c>
      <c r="X23" s="350"/>
      <c r="Y23" s="350"/>
      <c r="Z23" s="351"/>
      <c r="AA23" s="66">
        <f t="shared" si="153"/>
        <v>0</v>
      </c>
      <c r="AB23" s="66">
        <f t="shared" si="154"/>
        <v>0</v>
      </c>
      <c r="AC23" s="66">
        <f t="shared" si="155"/>
        <v>0</v>
      </c>
      <c r="AD23" s="66">
        <f t="shared" si="156"/>
        <v>0</v>
      </c>
      <c r="AE23" s="66">
        <f t="shared" si="14"/>
        <v>0</v>
      </c>
      <c r="AF23" s="66">
        <f t="shared" si="15"/>
        <v>0</v>
      </c>
      <c r="AG23" s="66">
        <f t="shared" si="16"/>
        <v>0</v>
      </c>
      <c r="AH23" s="66">
        <f t="shared" si="17"/>
        <v>0</v>
      </c>
      <c r="AI23" s="66">
        <f t="shared" si="18"/>
        <v>0</v>
      </c>
      <c r="AJ23" s="66">
        <f t="shared" si="197"/>
        <v>0</v>
      </c>
      <c r="AK23" s="67">
        <f t="shared" si="158"/>
        <v>0</v>
      </c>
      <c r="AL23" s="67">
        <f t="shared" si="159"/>
        <v>0</v>
      </c>
      <c r="AM23" s="67">
        <f t="shared" si="160"/>
        <v>0</v>
      </c>
      <c r="AN23" s="67">
        <f t="shared" si="23"/>
        <v>0</v>
      </c>
      <c r="AO23" s="66">
        <f t="shared" si="198"/>
        <v>0</v>
      </c>
      <c r="AP23" s="66">
        <f t="shared" si="162"/>
        <v>0</v>
      </c>
      <c r="AQ23" s="66">
        <f t="shared" si="163"/>
        <v>0</v>
      </c>
      <c r="AR23" s="66">
        <f t="shared" si="164"/>
        <v>0</v>
      </c>
      <c r="AS23" s="66">
        <f t="shared" si="165"/>
        <v>0</v>
      </c>
      <c r="AT23" s="66">
        <f t="shared" si="166"/>
        <v>0</v>
      </c>
      <c r="AU23" s="66">
        <f t="shared" si="167"/>
        <v>0</v>
      </c>
      <c r="AV23" s="66">
        <f t="shared" si="168"/>
        <v>0</v>
      </c>
      <c r="AW23" s="66">
        <f t="shared" si="169"/>
        <v>0</v>
      </c>
      <c r="AX23" s="66">
        <f t="shared" si="170"/>
        <v>0</v>
      </c>
      <c r="AY23" s="66">
        <f t="shared" si="171"/>
        <v>0</v>
      </c>
      <c r="AZ23" s="66">
        <f t="shared" si="172"/>
        <v>0</v>
      </c>
      <c r="BA23" s="66">
        <f t="shared" si="173"/>
        <v>0</v>
      </c>
      <c r="BB23" s="66">
        <f t="shared" si="174"/>
        <v>0</v>
      </c>
      <c r="BC23" s="66">
        <f t="shared" si="175"/>
        <v>0</v>
      </c>
      <c r="BD23" s="66">
        <f t="shared" si="176"/>
        <v>0</v>
      </c>
      <c r="BE23" s="66">
        <f t="shared" si="177"/>
        <v>0</v>
      </c>
      <c r="BF23" s="66">
        <f t="shared" si="178"/>
        <v>0</v>
      </c>
      <c r="BG23" s="66">
        <f t="shared" si="179"/>
        <v>0</v>
      </c>
      <c r="BH23" s="66">
        <f t="shared" si="180"/>
        <v>0</v>
      </c>
      <c r="BI23" s="66">
        <f t="shared" si="181"/>
        <v>0</v>
      </c>
      <c r="BJ23" s="68">
        <f t="shared" si="182"/>
        <v>0</v>
      </c>
      <c r="BK23" s="352">
        <v>1</v>
      </c>
      <c r="BL23" s="352">
        <v>12</v>
      </c>
      <c r="BM23" s="263">
        <v>1</v>
      </c>
      <c r="BN23" s="263">
        <v>12</v>
      </c>
      <c r="BO23" s="69">
        <f t="shared" si="183"/>
        <v>42186</v>
      </c>
      <c r="BP23" s="69">
        <f t="shared" si="184"/>
        <v>42552</v>
      </c>
      <c r="BQ23" s="70">
        <f t="shared" si="46"/>
        <v>6.54E-2</v>
      </c>
      <c r="BR23" s="285">
        <f t="shared" si="47"/>
        <v>0.1391</v>
      </c>
      <c r="BS23" s="68">
        <f t="shared" si="185"/>
        <v>0</v>
      </c>
      <c r="BT23" s="68">
        <f t="shared" si="186"/>
        <v>0</v>
      </c>
      <c r="BU23" s="353"/>
      <c r="BV23" s="71" t="e">
        <f t="shared" si="187"/>
        <v>#DIV/0!</v>
      </c>
      <c r="BW23" s="72"/>
      <c r="BX23" s="73" t="e">
        <f t="shared" si="51"/>
        <v>#DIV/0!</v>
      </c>
      <c r="BY23" s="73" t="e">
        <f t="shared" si="52"/>
        <v>#DIV/0!</v>
      </c>
      <c r="BZ23" s="73" t="e">
        <f t="shared" si="53"/>
        <v>#DIV/0!</v>
      </c>
      <c r="CA23" s="73" t="e">
        <f t="shared" si="54"/>
        <v>#DIV/0!</v>
      </c>
      <c r="CB23" s="73" t="e">
        <f t="shared" si="55"/>
        <v>#DIV/0!</v>
      </c>
      <c r="CD23" s="354"/>
      <c r="CE23" s="354"/>
      <c r="CF23" s="354"/>
      <c r="CG23" s="354"/>
      <c r="CH23" s="354"/>
      <c r="CI23" s="354"/>
      <c r="CJ23" s="354"/>
      <c r="CK23" s="354"/>
      <c r="CL23" s="354"/>
      <c r="CM23" s="354"/>
      <c r="CN23" s="354"/>
      <c r="CO23" s="354"/>
      <c r="CP23" s="354"/>
      <c r="CQ23" s="354"/>
      <c r="CR23" s="354"/>
      <c r="CS23" s="354"/>
      <c r="CT23" s="354"/>
      <c r="CU23" s="354"/>
      <c r="CV23" s="354"/>
      <c r="CW23" s="354"/>
      <c r="CX23" s="354"/>
      <c r="CY23" s="354"/>
      <c r="CZ23" s="354"/>
      <c r="DA23" s="354"/>
      <c r="DB23" s="354"/>
      <c r="DC23" s="354"/>
      <c r="DD23" s="95"/>
      <c r="DE23" s="45"/>
      <c r="DF23" s="76"/>
      <c r="DG23" s="77">
        <f t="shared" si="188"/>
        <v>0</v>
      </c>
      <c r="DH23" s="68">
        <f t="shared" si="189"/>
        <v>0</v>
      </c>
      <c r="DI23" s="78"/>
      <c r="DJ23" s="189"/>
      <c r="DL23" s="146">
        <f t="shared" si="58"/>
        <v>0</v>
      </c>
      <c r="DM23" s="146">
        <f t="shared" si="190"/>
        <v>0</v>
      </c>
      <c r="DN23" s="146">
        <f t="shared" si="60"/>
        <v>0</v>
      </c>
      <c r="DO23" s="146">
        <f t="shared" si="61"/>
        <v>0</v>
      </c>
      <c r="DP23" s="146">
        <f t="shared" si="62"/>
        <v>0</v>
      </c>
      <c r="DQ23" s="146">
        <f t="shared" si="63"/>
        <v>0</v>
      </c>
      <c r="DR23" s="146">
        <f t="shared" si="64"/>
        <v>0</v>
      </c>
      <c r="DS23" s="146">
        <f t="shared" si="65"/>
        <v>0</v>
      </c>
      <c r="DT23" s="146">
        <f t="shared" si="66"/>
        <v>0</v>
      </c>
      <c r="DU23" s="146">
        <f t="shared" si="67"/>
        <v>0</v>
      </c>
      <c r="DV23" s="146">
        <f t="shared" si="68"/>
        <v>0</v>
      </c>
      <c r="DW23" s="181">
        <f t="shared" si="69"/>
        <v>0</v>
      </c>
      <c r="DY23" s="183" t="e">
        <f>$CD23*VLOOKUP($G23,'Рецепты а.б.'!$B$5:$AW$50,DY$67,0)</f>
        <v>#N/A</v>
      </c>
      <c r="DZ23" s="75" t="e">
        <f>$CD23*VLOOKUP($G23,'Рецепты а.б.'!$B$5:$AW$50,DZ$67,0)</f>
        <v>#N/A</v>
      </c>
      <c r="EA23" s="75" t="e">
        <f>$CD23*VLOOKUP($G23,'Рецепты а.б.'!$B$5:$AW$50,EA$67,0)</f>
        <v>#N/A</v>
      </c>
      <c r="EB23" s="75" t="e">
        <f>$CD23*VLOOKUP($G23,'Рецепты а.б.'!$B$5:$AW$50,EB$67,0)</f>
        <v>#N/A</v>
      </c>
      <c r="EC23" s="75" t="e">
        <f>$CD23*VLOOKUP($G23,'Рецепты а.б.'!$B$5:$AW$50,EC$67,0)</f>
        <v>#N/A</v>
      </c>
      <c r="ED23" s="75" t="e">
        <f>$CD23*VLOOKUP($G23,'Рецепты а.б.'!$B$5:$AW$50,ED$67,0)</f>
        <v>#N/A</v>
      </c>
      <c r="EE23" s="75" t="e">
        <f>$CD23*VLOOKUP($G23,'Рецепты а.б.'!$B$5:$AW$50,EE$67,0)</f>
        <v>#N/A</v>
      </c>
      <c r="EF23" s="75" t="e">
        <f>$CF23*VLOOKUP($G23,'Рецепты а.б.'!$B$5:$AW$50,EF$67,0)</f>
        <v>#N/A</v>
      </c>
      <c r="EG23" s="75" t="e">
        <f>$CF23*VLOOKUP($G23,'Рецепты а.б.'!$B$5:$AW$50,EG$67,0)</f>
        <v>#N/A</v>
      </c>
      <c r="EH23" s="75" t="e">
        <f>$CF23*VLOOKUP($G23,'Рецепты а.б.'!$B$5:$AW$50,EH$67,0)</f>
        <v>#N/A</v>
      </c>
      <c r="EI23" s="75" t="e">
        <f>$CF23*VLOOKUP($G23,'Рецепты а.б.'!$B$5:$AW$50,EI$67,0)</f>
        <v>#N/A</v>
      </c>
      <c r="EJ23" s="75" t="e">
        <f>$CF23*VLOOKUP($G23,'Рецепты а.б.'!$B$5:$AW$50,EJ$67,0)</f>
        <v>#N/A</v>
      </c>
      <c r="EK23" s="75" t="e">
        <f>$CF23*VLOOKUP($G23,'Рецепты а.б.'!$B$5:$AW$50,EK$67,0)</f>
        <v>#N/A</v>
      </c>
      <c r="EL23" s="75" t="e">
        <f>$CF23*VLOOKUP($G23,'Рецепты а.б.'!$B$5:$AW$50,EL$67,0)</f>
        <v>#N/A</v>
      </c>
      <c r="EM23" s="75" t="e">
        <f>$CG23*VLOOKUP($G23,'Рецепты а.б.'!$B$5:$AW$50,EM$67,0)</f>
        <v>#N/A</v>
      </c>
      <c r="EN23" s="75" t="e">
        <f>$CG23*VLOOKUP($G23,'Рецепты а.б.'!$B$5:$AW$50,EN$67,0)</f>
        <v>#N/A</v>
      </c>
      <c r="EO23" s="75" t="e">
        <f>$CG23*VLOOKUP($G23,'Рецепты а.б.'!$B$5:$AW$50,EO$67,0)</f>
        <v>#N/A</v>
      </c>
      <c r="EP23" s="75" t="e">
        <f>$CG23*VLOOKUP($G23,'Рецепты а.б.'!$B$5:$AW$50,EP$67,0)</f>
        <v>#N/A</v>
      </c>
      <c r="EQ23" s="75" t="e">
        <f>$CG23*VLOOKUP($G23,'Рецепты а.б.'!$B$5:$AW$50,EQ$67,0)</f>
        <v>#N/A</v>
      </c>
      <c r="ER23" s="75" t="e">
        <f>$CG23*VLOOKUP($G23,'Рецепты а.б.'!$B$5:$AW$50,ER$67,0)</f>
        <v>#N/A</v>
      </c>
      <c r="ES23" s="75" t="e">
        <f>$CG23*VLOOKUP($G23,'Рецепты а.б.'!$B$5:$AW$50,ES$67,0)</f>
        <v>#N/A</v>
      </c>
      <c r="ET23" s="75" t="e">
        <f>$CH23*VLOOKUP($G23,'Рецепты а.б.'!$B$5:$AW$50,ET$67,0)</f>
        <v>#N/A</v>
      </c>
      <c r="EU23" s="75" t="e">
        <f>$CH23*VLOOKUP($G23,'Рецепты а.б.'!$B$5:$AW$50,EU$67,0)</f>
        <v>#N/A</v>
      </c>
      <c r="EV23" s="75" t="e">
        <f>$CH23*VLOOKUP($G23,'Рецепты а.б.'!$B$5:$AW$50,EV$67,0)</f>
        <v>#N/A</v>
      </c>
      <c r="EW23" s="75" t="e">
        <f>$CH23*VLOOKUP($G23,'Рецепты а.б.'!$B$5:$AW$50,EW$67,0)</f>
        <v>#N/A</v>
      </c>
      <c r="EX23" s="75" t="e">
        <f>$CH23*VLOOKUP($G23,'Рецепты а.б.'!$B$5:$AW$50,EX$67,0)</f>
        <v>#N/A</v>
      </c>
      <c r="EY23" s="75" t="e">
        <f>$CI23*VLOOKUP($G23,'Рецепты а.б.'!$B$5:$AW$50,EY$67,0)</f>
        <v>#N/A</v>
      </c>
      <c r="EZ23" s="75" t="e">
        <f>$CI23*VLOOKUP($G23,'Рецепты а.б.'!$B$5:$AW$50,EZ$67,0)</f>
        <v>#N/A</v>
      </c>
      <c r="FA23" s="75" t="e">
        <f>$CI23*VLOOKUP($G23,'Рецепты а.б.'!$B$5:$AW$50,FA$67,0)</f>
        <v>#N/A</v>
      </c>
      <c r="FB23" s="75" t="e">
        <f>$CI23*VLOOKUP($G23,'Рецепты а.б.'!$B$5:$AW$50,FB$67,0)</f>
        <v>#N/A</v>
      </c>
      <c r="FC23" s="75" t="e">
        <f>$CI23*VLOOKUP($G23,'Рецепты а.б.'!$B$5:$AW$50,FC$67,0)</f>
        <v>#N/A</v>
      </c>
      <c r="FD23" s="75" t="e">
        <f>$CI23*VLOOKUP($G23,'Рецепты а.б.'!$B$5:$AW$50,FD$67,0)</f>
        <v>#N/A</v>
      </c>
      <c r="FE23" s="75" t="e">
        <f>$CJ23*VLOOKUP($G23,'Рецепты а.б.'!$B$5:$AW$50,FE$67,0)</f>
        <v>#N/A</v>
      </c>
      <c r="FF23" s="75" t="e">
        <f>$CJ23*VLOOKUP($G23,'Рецепты а.б.'!$B$5:$AW$50,FF$67,0)</f>
        <v>#N/A</v>
      </c>
      <c r="FG23" s="75" t="e">
        <f>$CE23*VLOOKUP($G23,'Рецепты а.б.'!$B$5:$AW$50,FG$67,0)</f>
        <v>#N/A</v>
      </c>
      <c r="FH23" s="75" t="e">
        <f>$CE23*VLOOKUP($G23,'Рецепты а.б.'!$B$5:$AW$50,FH$67,0)</f>
        <v>#N/A</v>
      </c>
      <c r="FI23" s="75" t="e">
        <f>$CE23*VLOOKUP($G23,'Рецепты а.б.'!$B$5:$AW$50,FI$67,0)</f>
        <v>#N/A</v>
      </c>
      <c r="FJ23" s="75" t="e">
        <f>$CE23*VLOOKUP($G23,'Рецепты а.б.'!$B$5:$AW$50,FJ$67,0)</f>
        <v>#N/A</v>
      </c>
      <c r="FK23" s="75" t="e">
        <f>$CE23*VLOOKUP($G23,'Рецепты а.б.'!$B$5:$AW$50,FK$67,0)</f>
        <v>#N/A</v>
      </c>
      <c r="FL23" s="75" t="e">
        <f>$CE23*VLOOKUP($G23,'Рецепты а.б.'!$B$5:$AW$50,FL$67,0)</f>
        <v>#N/A</v>
      </c>
      <c r="FM23" s="75" t="e">
        <f>$CE23*VLOOKUP($G23,'Рецепты а.б.'!$B$5:$AW$50,FM$67,0)</f>
        <v>#N/A</v>
      </c>
      <c r="FN23" s="75" t="e">
        <f>$CE23*VLOOKUP($G23,'Рецепты а.б.'!$B$5:$AW$50,FN$67,0)</f>
        <v>#N/A</v>
      </c>
    </row>
    <row r="24" spans="1:170" s="64" customFormat="1" hidden="1" x14ac:dyDescent="0.2">
      <c r="A24" s="127">
        <f t="shared" si="105"/>
        <v>21</v>
      </c>
      <c r="B24" s="344"/>
      <c r="C24" s="344"/>
      <c r="D24" s="344"/>
      <c r="E24" s="420" t="s">
        <v>331</v>
      </c>
      <c r="F24" s="345"/>
      <c r="G24" s="346"/>
      <c r="H24" s="419" t="s">
        <v>206</v>
      </c>
      <c r="I24" s="347"/>
      <c r="J24" s="348"/>
      <c r="K24" s="348"/>
      <c r="L24" s="348"/>
      <c r="M24" s="348"/>
      <c r="N24" s="348"/>
      <c r="O24" s="65">
        <f t="shared" si="199"/>
        <v>0</v>
      </c>
      <c r="P24" s="342">
        <f t="shared" si="5"/>
        <v>0</v>
      </c>
      <c r="Q24" s="342"/>
      <c r="R24" s="342"/>
      <c r="S24" s="342"/>
      <c r="T24" s="65">
        <f t="shared" si="200"/>
        <v>0</v>
      </c>
      <c r="U24" s="66">
        <f t="shared" si="150"/>
        <v>0</v>
      </c>
      <c r="V24" s="66">
        <f t="shared" si="151"/>
        <v>0</v>
      </c>
      <c r="W24" s="349">
        <f t="shared" si="152"/>
        <v>0</v>
      </c>
      <c r="X24" s="350"/>
      <c r="Y24" s="350"/>
      <c r="Z24" s="351"/>
      <c r="AA24" s="66">
        <f t="shared" si="153"/>
        <v>0</v>
      </c>
      <c r="AB24" s="66">
        <f t="shared" si="154"/>
        <v>0</v>
      </c>
      <c r="AC24" s="66">
        <f t="shared" si="155"/>
        <v>0</v>
      </c>
      <c r="AD24" s="66">
        <f t="shared" si="156"/>
        <v>0</v>
      </c>
      <c r="AE24" s="66">
        <f t="shared" si="14"/>
        <v>0</v>
      </c>
      <c r="AF24" s="66">
        <f t="shared" si="15"/>
        <v>0</v>
      </c>
      <c r="AG24" s="66">
        <f t="shared" si="16"/>
        <v>0</v>
      </c>
      <c r="AH24" s="66">
        <f t="shared" si="17"/>
        <v>0</v>
      </c>
      <c r="AI24" s="66">
        <f t="shared" si="18"/>
        <v>0</v>
      </c>
      <c r="AJ24" s="66">
        <f t="shared" si="197"/>
        <v>0</v>
      </c>
      <c r="AK24" s="67">
        <f t="shared" si="158"/>
        <v>0</v>
      </c>
      <c r="AL24" s="67">
        <f t="shared" si="159"/>
        <v>0</v>
      </c>
      <c r="AM24" s="67">
        <f t="shared" si="160"/>
        <v>0</v>
      </c>
      <c r="AN24" s="67">
        <f t="shared" si="23"/>
        <v>0</v>
      </c>
      <c r="AO24" s="66">
        <f t="shared" si="198"/>
        <v>0</v>
      </c>
      <c r="AP24" s="66">
        <f t="shared" si="162"/>
        <v>0</v>
      </c>
      <c r="AQ24" s="66">
        <f t="shared" si="163"/>
        <v>0</v>
      </c>
      <c r="AR24" s="66">
        <f t="shared" si="164"/>
        <v>0</v>
      </c>
      <c r="AS24" s="66">
        <f t="shared" si="165"/>
        <v>0</v>
      </c>
      <c r="AT24" s="66">
        <f t="shared" si="166"/>
        <v>0</v>
      </c>
      <c r="AU24" s="66">
        <f t="shared" si="167"/>
        <v>0</v>
      </c>
      <c r="AV24" s="66">
        <f t="shared" si="168"/>
        <v>0</v>
      </c>
      <c r="AW24" s="66">
        <f t="shared" si="169"/>
        <v>0</v>
      </c>
      <c r="AX24" s="66">
        <f t="shared" si="170"/>
        <v>0</v>
      </c>
      <c r="AY24" s="66">
        <f t="shared" si="171"/>
        <v>0</v>
      </c>
      <c r="AZ24" s="66">
        <f t="shared" si="172"/>
        <v>0</v>
      </c>
      <c r="BA24" s="66">
        <f t="shared" si="173"/>
        <v>0</v>
      </c>
      <c r="BB24" s="66">
        <f t="shared" si="174"/>
        <v>0</v>
      </c>
      <c r="BC24" s="66">
        <f t="shared" si="175"/>
        <v>0</v>
      </c>
      <c r="BD24" s="66">
        <f t="shared" si="176"/>
        <v>0</v>
      </c>
      <c r="BE24" s="66">
        <f t="shared" si="177"/>
        <v>0</v>
      </c>
      <c r="BF24" s="66">
        <f t="shared" si="178"/>
        <v>0</v>
      </c>
      <c r="BG24" s="66">
        <f t="shared" si="179"/>
        <v>0</v>
      </c>
      <c r="BH24" s="66">
        <f t="shared" si="180"/>
        <v>0</v>
      </c>
      <c r="BI24" s="66">
        <f t="shared" si="181"/>
        <v>0</v>
      </c>
      <c r="BJ24" s="68">
        <f t="shared" si="182"/>
        <v>0</v>
      </c>
      <c r="BK24" s="352">
        <v>1</v>
      </c>
      <c r="BL24" s="352">
        <v>12</v>
      </c>
      <c r="BM24" s="263">
        <v>1</v>
      </c>
      <c r="BN24" s="263">
        <v>12</v>
      </c>
      <c r="BO24" s="69">
        <f t="shared" si="183"/>
        <v>42186</v>
      </c>
      <c r="BP24" s="69">
        <f t="shared" si="184"/>
        <v>42552</v>
      </c>
      <c r="BQ24" s="70">
        <f t="shared" si="46"/>
        <v>6.54E-2</v>
      </c>
      <c r="BR24" s="285">
        <f t="shared" si="47"/>
        <v>0.1391</v>
      </c>
      <c r="BS24" s="68">
        <f t="shared" si="185"/>
        <v>0</v>
      </c>
      <c r="BT24" s="68">
        <f t="shared" si="186"/>
        <v>0</v>
      </c>
      <c r="BU24" s="353"/>
      <c r="BV24" s="71" t="e">
        <f t="shared" si="187"/>
        <v>#DIV/0!</v>
      </c>
      <c r="BW24" s="72"/>
      <c r="BX24" s="73" t="e">
        <f t="shared" si="51"/>
        <v>#DIV/0!</v>
      </c>
      <c r="BY24" s="73" t="e">
        <f t="shared" si="52"/>
        <v>#DIV/0!</v>
      </c>
      <c r="BZ24" s="73" t="e">
        <f t="shared" si="53"/>
        <v>#DIV/0!</v>
      </c>
      <c r="CA24" s="73" t="e">
        <f t="shared" si="54"/>
        <v>#DIV/0!</v>
      </c>
      <c r="CB24" s="73" t="e">
        <f t="shared" si="55"/>
        <v>#DIV/0!</v>
      </c>
      <c r="CD24" s="354"/>
      <c r="CE24" s="354"/>
      <c r="CF24" s="354"/>
      <c r="CG24" s="354"/>
      <c r="CH24" s="354"/>
      <c r="CI24" s="354"/>
      <c r="CJ24" s="354"/>
      <c r="CK24" s="354"/>
      <c r="CL24" s="354"/>
      <c r="CM24" s="354"/>
      <c r="CN24" s="354"/>
      <c r="CO24" s="354"/>
      <c r="CP24" s="354"/>
      <c r="CQ24" s="354"/>
      <c r="CR24" s="354"/>
      <c r="CS24" s="354"/>
      <c r="CT24" s="354"/>
      <c r="CU24" s="354"/>
      <c r="CV24" s="354"/>
      <c r="CW24" s="354"/>
      <c r="CX24" s="354"/>
      <c r="CY24" s="354"/>
      <c r="CZ24" s="354"/>
      <c r="DA24" s="354"/>
      <c r="DB24" s="354"/>
      <c r="DC24" s="354"/>
      <c r="DD24" s="95"/>
      <c r="DE24" s="45"/>
      <c r="DF24" s="76"/>
      <c r="DG24" s="77">
        <f t="shared" si="188"/>
        <v>0</v>
      </c>
      <c r="DH24" s="68">
        <f t="shared" si="189"/>
        <v>0</v>
      </c>
      <c r="DI24" s="78"/>
      <c r="DJ24" s="189"/>
      <c r="DL24" s="146">
        <f t="shared" si="58"/>
        <v>0</v>
      </c>
      <c r="DM24" s="146">
        <f t="shared" si="190"/>
        <v>0</v>
      </c>
      <c r="DN24" s="146">
        <f t="shared" si="60"/>
        <v>0</v>
      </c>
      <c r="DO24" s="146">
        <f t="shared" si="61"/>
        <v>0</v>
      </c>
      <c r="DP24" s="146">
        <f t="shared" si="62"/>
        <v>0</v>
      </c>
      <c r="DQ24" s="146">
        <f t="shared" si="63"/>
        <v>0</v>
      </c>
      <c r="DR24" s="146">
        <f t="shared" si="64"/>
        <v>0</v>
      </c>
      <c r="DS24" s="146">
        <f t="shared" si="65"/>
        <v>0</v>
      </c>
      <c r="DT24" s="146">
        <f t="shared" si="66"/>
        <v>0</v>
      </c>
      <c r="DU24" s="146">
        <f t="shared" si="67"/>
        <v>0</v>
      </c>
      <c r="DV24" s="146">
        <f t="shared" si="68"/>
        <v>0</v>
      </c>
      <c r="DW24" s="181">
        <f t="shared" si="69"/>
        <v>0</v>
      </c>
      <c r="DY24" s="183" t="e">
        <f>$CD24*VLOOKUP($G24,'Рецепты а.б.'!$B$5:$AW$50,DY$67,0)</f>
        <v>#N/A</v>
      </c>
      <c r="DZ24" s="75" t="e">
        <f>$CD24*VLOOKUP($G24,'Рецепты а.б.'!$B$5:$AW$50,DZ$67,0)</f>
        <v>#N/A</v>
      </c>
      <c r="EA24" s="75" t="e">
        <f>$CD24*VLOOKUP($G24,'Рецепты а.б.'!$B$5:$AW$50,EA$67,0)</f>
        <v>#N/A</v>
      </c>
      <c r="EB24" s="75" t="e">
        <f>$CD24*VLOOKUP($G24,'Рецепты а.б.'!$B$5:$AW$50,EB$67,0)</f>
        <v>#N/A</v>
      </c>
      <c r="EC24" s="75" t="e">
        <f>$CD24*VLOOKUP($G24,'Рецепты а.б.'!$B$5:$AW$50,EC$67,0)</f>
        <v>#N/A</v>
      </c>
      <c r="ED24" s="75" t="e">
        <f>$CD24*VLOOKUP($G24,'Рецепты а.б.'!$B$5:$AW$50,ED$67,0)</f>
        <v>#N/A</v>
      </c>
      <c r="EE24" s="75" t="e">
        <f>$CD24*VLOOKUP($G24,'Рецепты а.б.'!$B$5:$AW$50,EE$67,0)</f>
        <v>#N/A</v>
      </c>
      <c r="EF24" s="75" t="e">
        <f>$CF24*VLOOKUP($G24,'Рецепты а.б.'!$B$5:$AW$50,EF$67,0)</f>
        <v>#N/A</v>
      </c>
      <c r="EG24" s="75" t="e">
        <f>$CF24*VLOOKUP($G24,'Рецепты а.б.'!$B$5:$AW$50,EG$67,0)</f>
        <v>#N/A</v>
      </c>
      <c r="EH24" s="75" t="e">
        <f>$CF24*VLOOKUP($G24,'Рецепты а.б.'!$B$5:$AW$50,EH$67,0)</f>
        <v>#N/A</v>
      </c>
      <c r="EI24" s="75" t="e">
        <f>$CF24*VLOOKUP($G24,'Рецепты а.б.'!$B$5:$AW$50,EI$67,0)</f>
        <v>#N/A</v>
      </c>
      <c r="EJ24" s="75" t="e">
        <f>$CF24*VLOOKUP($G24,'Рецепты а.б.'!$B$5:$AW$50,EJ$67,0)</f>
        <v>#N/A</v>
      </c>
      <c r="EK24" s="75" t="e">
        <f>$CF24*VLOOKUP($G24,'Рецепты а.б.'!$B$5:$AW$50,EK$67,0)</f>
        <v>#N/A</v>
      </c>
      <c r="EL24" s="75" t="e">
        <f>$CF24*VLOOKUP($G24,'Рецепты а.б.'!$B$5:$AW$50,EL$67,0)</f>
        <v>#N/A</v>
      </c>
      <c r="EM24" s="75" t="e">
        <f>$CG24*VLOOKUP($G24,'Рецепты а.б.'!$B$5:$AW$50,EM$67,0)</f>
        <v>#N/A</v>
      </c>
      <c r="EN24" s="75" t="e">
        <f>$CG24*VLOOKUP($G24,'Рецепты а.б.'!$B$5:$AW$50,EN$67,0)</f>
        <v>#N/A</v>
      </c>
      <c r="EO24" s="75" t="e">
        <f>$CG24*VLOOKUP($G24,'Рецепты а.б.'!$B$5:$AW$50,EO$67,0)</f>
        <v>#N/A</v>
      </c>
      <c r="EP24" s="75" t="e">
        <f>$CG24*VLOOKUP($G24,'Рецепты а.б.'!$B$5:$AW$50,EP$67,0)</f>
        <v>#N/A</v>
      </c>
      <c r="EQ24" s="75" t="e">
        <f>$CG24*VLOOKUP($G24,'Рецепты а.б.'!$B$5:$AW$50,EQ$67,0)</f>
        <v>#N/A</v>
      </c>
      <c r="ER24" s="75" t="e">
        <f>$CG24*VLOOKUP($G24,'Рецепты а.б.'!$B$5:$AW$50,ER$67,0)</f>
        <v>#N/A</v>
      </c>
      <c r="ES24" s="75" t="e">
        <f>$CG24*VLOOKUP($G24,'Рецепты а.б.'!$B$5:$AW$50,ES$67,0)</f>
        <v>#N/A</v>
      </c>
      <c r="ET24" s="75" t="e">
        <f>$CH24*VLOOKUP($G24,'Рецепты а.б.'!$B$5:$AW$50,ET$67,0)</f>
        <v>#N/A</v>
      </c>
      <c r="EU24" s="75" t="e">
        <f>$CH24*VLOOKUP($G24,'Рецепты а.б.'!$B$5:$AW$50,EU$67,0)</f>
        <v>#N/A</v>
      </c>
      <c r="EV24" s="75" t="e">
        <f>$CH24*VLOOKUP($G24,'Рецепты а.б.'!$B$5:$AW$50,EV$67,0)</f>
        <v>#N/A</v>
      </c>
      <c r="EW24" s="75" t="e">
        <f>$CH24*VLOOKUP($G24,'Рецепты а.б.'!$B$5:$AW$50,EW$67,0)</f>
        <v>#N/A</v>
      </c>
      <c r="EX24" s="75" t="e">
        <f>$CH24*VLOOKUP($G24,'Рецепты а.б.'!$B$5:$AW$50,EX$67,0)</f>
        <v>#N/A</v>
      </c>
      <c r="EY24" s="75" t="e">
        <f>$CI24*VLOOKUP($G24,'Рецепты а.б.'!$B$5:$AW$50,EY$67,0)</f>
        <v>#N/A</v>
      </c>
      <c r="EZ24" s="75" t="e">
        <f>$CI24*VLOOKUP($G24,'Рецепты а.б.'!$B$5:$AW$50,EZ$67,0)</f>
        <v>#N/A</v>
      </c>
      <c r="FA24" s="75" t="e">
        <f>$CI24*VLOOKUP($G24,'Рецепты а.б.'!$B$5:$AW$50,FA$67,0)</f>
        <v>#N/A</v>
      </c>
      <c r="FB24" s="75" t="e">
        <f>$CI24*VLOOKUP($G24,'Рецепты а.б.'!$B$5:$AW$50,FB$67,0)</f>
        <v>#N/A</v>
      </c>
      <c r="FC24" s="75" t="e">
        <f>$CI24*VLOOKUP($G24,'Рецепты а.б.'!$B$5:$AW$50,FC$67,0)</f>
        <v>#N/A</v>
      </c>
      <c r="FD24" s="75" t="e">
        <f>$CI24*VLOOKUP($G24,'Рецепты а.б.'!$B$5:$AW$50,FD$67,0)</f>
        <v>#N/A</v>
      </c>
      <c r="FE24" s="75" t="e">
        <f>$CJ24*VLOOKUP($G24,'Рецепты а.б.'!$B$5:$AW$50,FE$67,0)</f>
        <v>#N/A</v>
      </c>
      <c r="FF24" s="75" t="e">
        <f>$CJ24*VLOOKUP($G24,'Рецепты а.б.'!$B$5:$AW$50,FF$67,0)</f>
        <v>#N/A</v>
      </c>
      <c r="FG24" s="75" t="e">
        <f>$CE24*VLOOKUP($G24,'Рецепты а.б.'!$B$5:$AW$50,FG$67,0)</f>
        <v>#N/A</v>
      </c>
      <c r="FH24" s="75" t="e">
        <f>$CE24*VLOOKUP($G24,'Рецепты а.б.'!$B$5:$AW$50,FH$67,0)</f>
        <v>#N/A</v>
      </c>
      <c r="FI24" s="75" t="e">
        <f>$CE24*VLOOKUP($G24,'Рецепты а.б.'!$B$5:$AW$50,FI$67,0)</f>
        <v>#N/A</v>
      </c>
      <c r="FJ24" s="75" t="e">
        <f>$CE24*VLOOKUP($G24,'Рецепты а.б.'!$B$5:$AW$50,FJ$67,0)</f>
        <v>#N/A</v>
      </c>
      <c r="FK24" s="75" t="e">
        <f>$CE24*VLOOKUP($G24,'Рецепты а.б.'!$B$5:$AW$50,FK$67,0)</f>
        <v>#N/A</v>
      </c>
      <c r="FL24" s="75" t="e">
        <f>$CE24*VLOOKUP($G24,'Рецепты а.б.'!$B$5:$AW$50,FL$67,0)</f>
        <v>#N/A</v>
      </c>
      <c r="FM24" s="75" t="e">
        <f>$CE24*VLOOKUP($G24,'Рецепты а.б.'!$B$5:$AW$50,FM$67,0)</f>
        <v>#N/A</v>
      </c>
      <c r="FN24" s="75" t="e">
        <f>$CE24*VLOOKUP($G24,'Рецепты а.б.'!$B$5:$AW$50,FN$67,0)</f>
        <v>#N/A</v>
      </c>
    </row>
    <row r="25" spans="1:170" s="64" customFormat="1" hidden="1" x14ac:dyDescent="0.2">
      <c r="A25" s="127">
        <f t="shared" si="105"/>
        <v>22</v>
      </c>
      <c r="B25" s="344"/>
      <c r="C25" s="344"/>
      <c r="D25" s="344"/>
      <c r="E25" s="420" t="s">
        <v>331</v>
      </c>
      <c r="F25" s="345"/>
      <c r="G25" s="346"/>
      <c r="H25" s="419" t="s">
        <v>206</v>
      </c>
      <c r="I25" s="347"/>
      <c r="J25" s="348"/>
      <c r="K25" s="348"/>
      <c r="L25" s="348"/>
      <c r="M25" s="348"/>
      <c r="N25" s="348"/>
      <c r="O25" s="65">
        <f t="shared" si="199"/>
        <v>0</v>
      </c>
      <c r="P25" s="342">
        <f t="shared" si="5"/>
        <v>0</v>
      </c>
      <c r="Q25" s="342"/>
      <c r="R25" s="342"/>
      <c r="S25" s="342"/>
      <c r="T25" s="65">
        <f t="shared" si="200"/>
        <v>0</v>
      </c>
      <c r="U25" s="66">
        <f t="shared" si="150"/>
        <v>0</v>
      </c>
      <c r="V25" s="66">
        <f t="shared" si="151"/>
        <v>0</v>
      </c>
      <c r="W25" s="349">
        <f t="shared" si="152"/>
        <v>0</v>
      </c>
      <c r="X25" s="350"/>
      <c r="Y25" s="350"/>
      <c r="Z25" s="351"/>
      <c r="AA25" s="66">
        <f t="shared" si="153"/>
        <v>0</v>
      </c>
      <c r="AB25" s="66">
        <f t="shared" si="154"/>
        <v>0</v>
      </c>
      <c r="AC25" s="66">
        <f t="shared" si="155"/>
        <v>0</v>
      </c>
      <c r="AD25" s="66">
        <f t="shared" si="156"/>
        <v>0</v>
      </c>
      <c r="AE25" s="66">
        <f t="shared" si="14"/>
        <v>0</v>
      </c>
      <c r="AF25" s="66">
        <f t="shared" si="15"/>
        <v>0</v>
      </c>
      <c r="AG25" s="66">
        <f t="shared" si="16"/>
        <v>0</v>
      </c>
      <c r="AH25" s="66">
        <f t="shared" si="17"/>
        <v>0</v>
      </c>
      <c r="AI25" s="66">
        <f t="shared" si="18"/>
        <v>0</v>
      </c>
      <c r="AJ25" s="66">
        <f t="shared" si="197"/>
        <v>0</v>
      </c>
      <c r="AK25" s="67">
        <f t="shared" si="158"/>
        <v>0</v>
      </c>
      <c r="AL25" s="67">
        <f t="shared" si="159"/>
        <v>0</v>
      </c>
      <c r="AM25" s="67">
        <f t="shared" si="160"/>
        <v>0</v>
      </c>
      <c r="AN25" s="67">
        <f t="shared" si="23"/>
        <v>0</v>
      </c>
      <c r="AO25" s="66">
        <f t="shared" si="198"/>
        <v>0</v>
      </c>
      <c r="AP25" s="66">
        <f t="shared" si="162"/>
        <v>0</v>
      </c>
      <c r="AQ25" s="66">
        <f t="shared" si="163"/>
        <v>0</v>
      </c>
      <c r="AR25" s="66">
        <f t="shared" si="164"/>
        <v>0</v>
      </c>
      <c r="AS25" s="66">
        <f t="shared" si="165"/>
        <v>0</v>
      </c>
      <c r="AT25" s="66">
        <f t="shared" si="166"/>
        <v>0</v>
      </c>
      <c r="AU25" s="66">
        <f t="shared" si="167"/>
        <v>0</v>
      </c>
      <c r="AV25" s="66">
        <f t="shared" si="168"/>
        <v>0</v>
      </c>
      <c r="AW25" s="66">
        <f t="shared" si="169"/>
        <v>0</v>
      </c>
      <c r="AX25" s="66">
        <f t="shared" si="170"/>
        <v>0</v>
      </c>
      <c r="AY25" s="66">
        <f t="shared" si="171"/>
        <v>0</v>
      </c>
      <c r="AZ25" s="66">
        <f t="shared" si="172"/>
        <v>0</v>
      </c>
      <c r="BA25" s="66">
        <f t="shared" si="173"/>
        <v>0</v>
      </c>
      <c r="BB25" s="66">
        <f t="shared" si="174"/>
        <v>0</v>
      </c>
      <c r="BC25" s="66">
        <f t="shared" si="175"/>
        <v>0</v>
      </c>
      <c r="BD25" s="66">
        <f t="shared" si="176"/>
        <v>0</v>
      </c>
      <c r="BE25" s="66">
        <f t="shared" si="177"/>
        <v>0</v>
      </c>
      <c r="BF25" s="66">
        <f t="shared" si="178"/>
        <v>0</v>
      </c>
      <c r="BG25" s="66">
        <f t="shared" si="179"/>
        <v>0</v>
      </c>
      <c r="BH25" s="66">
        <f t="shared" si="180"/>
        <v>0</v>
      </c>
      <c r="BI25" s="66">
        <f t="shared" si="181"/>
        <v>0</v>
      </c>
      <c r="BJ25" s="68">
        <f t="shared" si="182"/>
        <v>0</v>
      </c>
      <c r="BK25" s="352">
        <v>1</v>
      </c>
      <c r="BL25" s="352">
        <v>12</v>
      </c>
      <c r="BM25" s="263">
        <v>1</v>
      </c>
      <c r="BN25" s="263">
        <v>12</v>
      </c>
      <c r="BO25" s="69">
        <f t="shared" si="183"/>
        <v>42186</v>
      </c>
      <c r="BP25" s="69">
        <f t="shared" si="184"/>
        <v>42552</v>
      </c>
      <c r="BQ25" s="70">
        <f t="shared" si="46"/>
        <v>6.54E-2</v>
      </c>
      <c r="BR25" s="285">
        <f t="shared" si="47"/>
        <v>0.1391</v>
      </c>
      <c r="BS25" s="68">
        <f t="shared" si="185"/>
        <v>0</v>
      </c>
      <c r="BT25" s="68">
        <f t="shared" si="186"/>
        <v>0</v>
      </c>
      <c r="BU25" s="353"/>
      <c r="BV25" s="71" t="e">
        <f t="shared" si="187"/>
        <v>#DIV/0!</v>
      </c>
      <c r="BW25" s="72"/>
      <c r="BX25" s="73" t="e">
        <f t="shared" si="51"/>
        <v>#DIV/0!</v>
      </c>
      <c r="BY25" s="73" t="e">
        <f t="shared" si="52"/>
        <v>#DIV/0!</v>
      </c>
      <c r="BZ25" s="73" t="e">
        <f t="shared" si="53"/>
        <v>#DIV/0!</v>
      </c>
      <c r="CA25" s="73" t="e">
        <f t="shared" si="54"/>
        <v>#DIV/0!</v>
      </c>
      <c r="CB25" s="73" t="e">
        <f t="shared" si="55"/>
        <v>#DIV/0!</v>
      </c>
      <c r="CD25" s="354"/>
      <c r="CE25" s="354"/>
      <c r="CF25" s="354"/>
      <c r="CG25" s="354"/>
      <c r="CH25" s="354"/>
      <c r="CI25" s="354"/>
      <c r="CJ25" s="354"/>
      <c r="CK25" s="354"/>
      <c r="CL25" s="354"/>
      <c r="CM25" s="354"/>
      <c r="CN25" s="354"/>
      <c r="CO25" s="354"/>
      <c r="CP25" s="354"/>
      <c r="CQ25" s="354"/>
      <c r="CR25" s="354"/>
      <c r="CS25" s="354"/>
      <c r="CT25" s="354"/>
      <c r="CU25" s="354"/>
      <c r="CV25" s="354"/>
      <c r="CW25" s="354"/>
      <c r="CX25" s="354"/>
      <c r="CY25" s="354"/>
      <c r="CZ25" s="354"/>
      <c r="DA25" s="354"/>
      <c r="DB25" s="354"/>
      <c r="DC25" s="354"/>
      <c r="DD25" s="95"/>
      <c r="DE25" s="45"/>
      <c r="DF25" s="76"/>
      <c r="DG25" s="77">
        <f t="shared" si="188"/>
        <v>0</v>
      </c>
      <c r="DH25" s="68">
        <f t="shared" si="189"/>
        <v>0</v>
      </c>
      <c r="DI25" s="78"/>
      <c r="DJ25" s="189"/>
      <c r="DL25" s="146">
        <f t="shared" si="58"/>
        <v>0</v>
      </c>
      <c r="DM25" s="146">
        <f t="shared" si="190"/>
        <v>0</v>
      </c>
      <c r="DN25" s="146">
        <f t="shared" si="60"/>
        <v>0</v>
      </c>
      <c r="DO25" s="146">
        <f t="shared" si="61"/>
        <v>0</v>
      </c>
      <c r="DP25" s="146">
        <f t="shared" si="62"/>
        <v>0</v>
      </c>
      <c r="DQ25" s="146">
        <f t="shared" si="63"/>
        <v>0</v>
      </c>
      <c r="DR25" s="146">
        <f t="shared" si="64"/>
        <v>0</v>
      </c>
      <c r="DS25" s="146">
        <f t="shared" si="65"/>
        <v>0</v>
      </c>
      <c r="DT25" s="146">
        <f t="shared" si="66"/>
        <v>0</v>
      </c>
      <c r="DU25" s="146">
        <f t="shared" si="67"/>
        <v>0</v>
      </c>
      <c r="DV25" s="146">
        <f t="shared" si="68"/>
        <v>0</v>
      </c>
      <c r="DW25" s="181">
        <f t="shared" si="69"/>
        <v>0</v>
      </c>
      <c r="DY25" s="183" t="e">
        <f>$CD25*VLOOKUP($G25,'Рецепты а.б.'!$B$5:$AW$50,DY$67,0)</f>
        <v>#N/A</v>
      </c>
      <c r="DZ25" s="75" t="e">
        <f>$CD25*VLOOKUP($G25,'Рецепты а.б.'!$B$5:$AW$50,DZ$67,0)</f>
        <v>#N/A</v>
      </c>
      <c r="EA25" s="75" t="e">
        <f>$CD25*VLOOKUP($G25,'Рецепты а.б.'!$B$5:$AW$50,EA$67,0)</f>
        <v>#N/A</v>
      </c>
      <c r="EB25" s="75" t="e">
        <f>$CD25*VLOOKUP($G25,'Рецепты а.б.'!$B$5:$AW$50,EB$67,0)</f>
        <v>#N/A</v>
      </c>
      <c r="EC25" s="75" t="e">
        <f>$CD25*VLOOKUP($G25,'Рецепты а.б.'!$B$5:$AW$50,EC$67,0)</f>
        <v>#N/A</v>
      </c>
      <c r="ED25" s="75" t="e">
        <f>$CD25*VLOOKUP($G25,'Рецепты а.б.'!$B$5:$AW$50,ED$67,0)</f>
        <v>#N/A</v>
      </c>
      <c r="EE25" s="75" t="e">
        <f>$CD25*VLOOKUP($G25,'Рецепты а.б.'!$B$5:$AW$50,EE$67,0)</f>
        <v>#N/A</v>
      </c>
      <c r="EF25" s="75" t="e">
        <f>$CF25*VLOOKUP($G25,'Рецепты а.б.'!$B$5:$AW$50,EF$67,0)</f>
        <v>#N/A</v>
      </c>
      <c r="EG25" s="75" t="e">
        <f>$CF25*VLOOKUP($G25,'Рецепты а.б.'!$B$5:$AW$50,EG$67,0)</f>
        <v>#N/A</v>
      </c>
      <c r="EH25" s="75" t="e">
        <f>$CF25*VLOOKUP($G25,'Рецепты а.б.'!$B$5:$AW$50,EH$67,0)</f>
        <v>#N/A</v>
      </c>
      <c r="EI25" s="75" t="e">
        <f>$CF25*VLOOKUP($G25,'Рецепты а.б.'!$B$5:$AW$50,EI$67,0)</f>
        <v>#N/A</v>
      </c>
      <c r="EJ25" s="75" t="e">
        <f>$CF25*VLOOKUP($G25,'Рецепты а.б.'!$B$5:$AW$50,EJ$67,0)</f>
        <v>#N/A</v>
      </c>
      <c r="EK25" s="75" t="e">
        <f>$CF25*VLOOKUP($G25,'Рецепты а.б.'!$B$5:$AW$50,EK$67,0)</f>
        <v>#N/A</v>
      </c>
      <c r="EL25" s="75" t="e">
        <f>$CF25*VLOOKUP($G25,'Рецепты а.б.'!$B$5:$AW$50,EL$67,0)</f>
        <v>#N/A</v>
      </c>
      <c r="EM25" s="75" t="e">
        <f>$CG25*VLOOKUP($G25,'Рецепты а.б.'!$B$5:$AW$50,EM$67,0)</f>
        <v>#N/A</v>
      </c>
      <c r="EN25" s="75" t="e">
        <f>$CG25*VLOOKUP($G25,'Рецепты а.б.'!$B$5:$AW$50,EN$67,0)</f>
        <v>#N/A</v>
      </c>
      <c r="EO25" s="75" t="e">
        <f>$CG25*VLOOKUP($G25,'Рецепты а.б.'!$B$5:$AW$50,EO$67,0)</f>
        <v>#N/A</v>
      </c>
      <c r="EP25" s="75" t="e">
        <f>$CG25*VLOOKUP($G25,'Рецепты а.б.'!$B$5:$AW$50,EP$67,0)</f>
        <v>#N/A</v>
      </c>
      <c r="EQ25" s="75" t="e">
        <f>$CG25*VLOOKUP($G25,'Рецепты а.б.'!$B$5:$AW$50,EQ$67,0)</f>
        <v>#N/A</v>
      </c>
      <c r="ER25" s="75" t="e">
        <f>$CG25*VLOOKUP($G25,'Рецепты а.б.'!$B$5:$AW$50,ER$67,0)</f>
        <v>#N/A</v>
      </c>
      <c r="ES25" s="75" t="e">
        <f>$CG25*VLOOKUP($G25,'Рецепты а.б.'!$B$5:$AW$50,ES$67,0)</f>
        <v>#N/A</v>
      </c>
      <c r="ET25" s="75" t="e">
        <f>$CH25*VLOOKUP($G25,'Рецепты а.б.'!$B$5:$AW$50,ET$67,0)</f>
        <v>#N/A</v>
      </c>
      <c r="EU25" s="75" t="e">
        <f>$CH25*VLOOKUP($G25,'Рецепты а.б.'!$B$5:$AW$50,EU$67,0)</f>
        <v>#N/A</v>
      </c>
      <c r="EV25" s="75" t="e">
        <f>$CH25*VLOOKUP($G25,'Рецепты а.б.'!$B$5:$AW$50,EV$67,0)</f>
        <v>#N/A</v>
      </c>
      <c r="EW25" s="75" t="e">
        <f>$CH25*VLOOKUP($G25,'Рецепты а.б.'!$B$5:$AW$50,EW$67,0)</f>
        <v>#N/A</v>
      </c>
      <c r="EX25" s="75" t="e">
        <f>$CH25*VLOOKUP($G25,'Рецепты а.б.'!$B$5:$AW$50,EX$67,0)</f>
        <v>#N/A</v>
      </c>
      <c r="EY25" s="75" t="e">
        <f>$CI25*VLOOKUP($G25,'Рецепты а.б.'!$B$5:$AW$50,EY$67,0)</f>
        <v>#N/A</v>
      </c>
      <c r="EZ25" s="75" t="e">
        <f>$CI25*VLOOKUP($G25,'Рецепты а.б.'!$B$5:$AW$50,EZ$67,0)</f>
        <v>#N/A</v>
      </c>
      <c r="FA25" s="75" t="e">
        <f>$CI25*VLOOKUP($G25,'Рецепты а.б.'!$B$5:$AW$50,FA$67,0)</f>
        <v>#N/A</v>
      </c>
      <c r="FB25" s="75" t="e">
        <f>$CI25*VLOOKUP($G25,'Рецепты а.б.'!$B$5:$AW$50,FB$67,0)</f>
        <v>#N/A</v>
      </c>
      <c r="FC25" s="75" t="e">
        <f>$CI25*VLOOKUP($G25,'Рецепты а.б.'!$B$5:$AW$50,FC$67,0)</f>
        <v>#N/A</v>
      </c>
      <c r="FD25" s="75" t="e">
        <f>$CI25*VLOOKUP($G25,'Рецепты а.б.'!$B$5:$AW$50,FD$67,0)</f>
        <v>#N/A</v>
      </c>
      <c r="FE25" s="75" t="e">
        <f>$CJ25*VLOOKUP($G25,'Рецепты а.б.'!$B$5:$AW$50,FE$67,0)</f>
        <v>#N/A</v>
      </c>
      <c r="FF25" s="75" t="e">
        <f>$CJ25*VLOOKUP($G25,'Рецепты а.б.'!$B$5:$AW$50,FF$67,0)</f>
        <v>#N/A</v>
      </c>
      <c r="FG25" s="75" t="e">
        <f>$CE25*VLOOKUP($G25,'Рецепты а.б.'!$B$5:$AW$50,FG$67,0)</f>
        <v>#N/A</v>
      </c>
      <c r="FH25" s="75" t="e">
        <f>$CE25*VLOOKUP($G25,'Рецепты а.б.'!$B$5:$AW$50,FH$67,0)</f>
        <v>#N/A</v>
      </c>
      <c r="FI25" s="75" t="e">
        <f>$CE25*VLOOKUP($G25,'Рецепты а.б.'!$B$5:$AW$50,FI$67,0)</f>
        <v>#N/A</v>
      </c>
      <c r="FJ25" s="75" t="e">
        <f>$CE25*VLOOKUP($G25,'Рецепты а.б.'!$B$5:$AW$50,FJ$67,0)</f>
        <v>#N/A</v>
      </c>
      <c r="FK25" s="75" t="e">
        <f>$CE25*VLOOKUP($G25,'Рецепты а.б.'!$B$5:$AW$50,FK$67,0)</f>
        <v>#N/A</v>
      </c>
      <c r="FL25" s="75" t="e">
        <f>$CE25*VLOOKUP($G25,'Рецепты а.б.'!$B$5:$AW$50,FL$67,0)</f>
        <v>#N/A</v>
      </c>
      <c r="FM25" s="75" t="e">
        <f>$CE25*VLOOKUP($G25,'Рецепты а.б.'!$B$5:$AW$50,FM$67,0)</f>
        <v>#N/A</v>
      </c>
      <c r="FN25" s="75" t="e">
        <f>$CE25*VLOOKUP($G25,'Рецепты а.б.'!$B$5:$AW$50,FN$67,0)</f>
        <v>#N/A</v>
      </c>
    </row>
    <row r="26" spans="1:170" s="64" customFormat="1" hidden="1" x14ac:dyDescent="0.2">
      <c r="A26" s="127">
        <f t="shared" ref="A26:A49" si="201">A25+1</f>
        <v>23</v>
      </c>
      <c r="B26" s="344"/>
      <c r="C26" s="344"/>
      <c r="D26" s="344"/>
      <c r="E26" s="420" t="s">
        <v>331</v>
      </c>
      <c r="F26" s="345"/>
      <c r="G26" s="346"/>
      <c r="H26" s="419" t="s">
        <v>206</v>
      </c>
      <c r="I26" s="347"/>
      <c r="J26" s="348"/>
      <c r="K26" s="348"/>
      <c r="L26" s="348"/>
      <c r="M26" s="348"/>
      <c r="N26" s="348"/>
      <c r="O26" s="65">
        <f t="shared" si="199"/>
        <v>0</v>
      </c>
      <c r="P26" s="342">
        <f t="shared" si="5"/>
        <v>0</v>
      </c>
      <c r="Q26" s="342"/>
      <c r="R26" s="342"/>
      <c r="S26" s="342"/>
      <c r="T26" s="65">
        <f t="shared" si="200"/>
        <v>0</v>
      </c>
      <c r="U26" s="66">
        <f t="shared" si="150"/>
        <v>0</v>
      </c>
      <c r="V26" s="66">
        <f t="shared" si="151"/>
        <v>0</v>
      </c>
      <c r="W26" s="349">
        <f t="shared" si="152"/>
        <v>0</v>
      </c>
      <c r="X26" s="350"/>
      <c r="Y26" s="350"/>
      <c r="Z26" s="351"/>
      <c r="AA26" s="66">
        <f t="shared" si="153"/>
        <v>0</v>
      </c>
      <c r="AB26" s="66">
        <f t="shared" si="154"/>
        <v>0</v>
      </c>
      <c r="AC26" s="66">
        <f t="shared" si="155"/>
        <v>0</v>
      </c>
      <c r="AD26" s="66">
        <f t="shared" si="156"/>
        <v>0</v>
      </c>
      <c r="AE26" s="66">
        <f t="shared" si="14"/>
        <v>0</v>
      </c>
      <c r="AF26" s="66">
        <f t="shared" si="15"/>
        <v>0</v>
      </c>
      <c r="AG26" s="66">
        <f t="shared" si="16"/>
        <v>0</v>
      </c>
      <c r="AH26" s="66">
        <f t="shared" si="17"/>
        <v>0</v>
      </c>
      <c r="AI26" s="66">
        <f t="shared" si="18"/>
        <v>0</v>
      </c>
      <c r="AJ26" s="66">
        <f t="shared" si="197"/>
        <v>0</v>
      </c>
      <c r="AK26" s="67">
        <f t="shared" si="158"/>
        <v>0</v>
      </c>
      <c r="AL26" s="67">
        <f t="shared" si="159"/>
        <v>0</v>
      </c>
      <c r="AM26" s="67">
        <f t="shared" si="160"/>
        <v>0</v>
      </c>
      <c r="AN26" s="67">
        <f t="shared" si="23"/>
        <v>0</v>
      </c>
      <c r="AO26" s="66">
        <f t="shared" si="198"/>
        <v>0</v>
      </c>
      <c r="AP26" s="66">
        <f t="shared" si="162"/>
        <v>0</v>
      </c>
      <c r="AQ26" s="66">
        <f t="shared" si="163"/>
        <v>0</v>
      </c>
      <c r="AR26" s="66">
        <f t="shared" si="164"/>
        <v>0</v>
      </c>
      <c r="AS26" s="66">
        <f t="shared" si="165"/>
        <v>0</v>
      </c>
      <c r="AT26" s="66">
        <f t="shared" si="166"/>
        <v>0</v>
      </c>
      <c r="AU26" s="66">
        <f t="shared" si="167"/>
        <v>0</v>
      </c>
      <c r="AV26" s="66">
        <f t="shared" si="168"/>
        <v>0</v>
      </c>
      <c r="AW26" s="66">
        <f t="shared" si="169"/>
        <v>0</v>
      </c>
      <c r="AX26" s="66">
        <f t="shared" si="170"/>
        <v>0</v>
      </c>
      <c r="AY26" s="66">
        <f t="shared" si="171"/>
        <v>0</v>
      </c>
      <c r="AZ26" s="66">
        <f t="shared" si="172"/>
        <v>0</v>
      </c>
      <c r="BA26" s="66">
        <f t="shared" si="173"/>
        <v>0</v>
      </c>
      <c r="BB26" s="66">
        <f t="shared" si="174"/>
        <v>0</v>
      </c>
      <c r="BC26" s="66">
        <f t="shared" si="175"/>
        <v>0</v>
      </c>
      <c r="BD26" s="66">
        <f t="shared" si="176"/>
        <v>0</v>
      </c>
      <c r="BE26" s="66">
        <f t="shared" si="177"/>
        <v>0</v>
      </c>
      <c r="BF26" s="66">
        <f t="shared" si="178"/>
        <v>0</v>
      </c>
      <c r="BG26" s="66">
        <f t="shared" si="179"/>
        <v>0</v>
      </c>
      <c r="BH26" s="66">
        <f t="shared" si="180"/>
        <v>0</v>
      </c>
      <c r="BI26" s="66">
        <f t="shared" si="181"/>
        <v>0</v>
      </c>
      <c r="BJ26" s="68">
        <f t="shared" si="182"/>
        <v>0</v>
      </c>
      <c r="BK26" s="352">
        <v>1</v>
      </c>
      <c r="BL26" s="352">
        <v>12</v>
      </c>
      <c r="BM26" s="263">
        <v>1</v>
      </c>
      <c r="BN26" s="263">
        <v>12</v>
      </c>
      <c r="BO26" s="69">
        <f t="shared" si="183"/>
        <v>42186</v>
      </c>
      <c r="BP26" s="69">
        <f t="shared" si="184"/>
        <v>42552</v>
      </c>
      <c r="BQ26" s="70">
        <f t="shared" si="46"/>
        <v>6.54E-2</v>
      </c>
      <c r="BR26" s="285">
        <f t="shared" si="47"/>
        <v>0.1391</v>
      </c>
      <c r="BS26" s="68">
        <f t="shared" si="185"/>
        <v>0</v>
      </c>
      <c r="BT26" s="68">
        <f t="shared" si="186"/>
        <v>0</v>
      </c>
      <c r="BU26" s="353"/>
      <c r="BV26" s="71" t="e">
        <f t="shared" si="187"/>
        <v>#DIV/0!</v>
      </c>
      <c r="BW26" s="72"/>
      <c r="BX26" s="73" t="e">
        <f t="shared" si="51"/>
        <v>#DIV/0!</v>
      </c>
      <c r="BY26" s="73" t="e">
        <f t="shared" si="52"/>
        <v>#DIV/0!</v>
      </c>
      <c r="BZ26" s="73" t="e">
        <f t="shared" si="53"/>
        <v>#DIV/0!</v>
      </c>
      <c r="CA26" s="73" t="e">
        <f t="shared" si="54"/>
        <v>#DIV/0!</v>
      </c>
      <c r="CB26" s="73" t="e">
        <f t="shared" si="55"/>
        <v>#DIV/0!</v>
      </c>
      <c r="CD26" s="354"/>
      <c r="CE26" s="354"/>
      <c r="CF26" s="354"/>
      <c r="CG26" s="354"/>
      <c r="CH26" s="354"/>
      <c r="CI26" s="354"/>
      <c r="CJ26" s="354"/>
      <c r="CK26" s="354"/>
      <c r="CL26" s="354"/>
      <c r="CM26" s="354"/>
      <c r="CN26" s="354"/>
      <c r="CO26" s="354"/>
      <c r="CP26" s="354"/>
      <c r="CQ26" s="354"/>
      <c r="CR26" s="354"/>
      <c r="CS26" s="354"/>
      <c r="CT26" s="354"/>
      <c r="CU26" s="354"/>
      <c r="CV26" s="354"/>
      <c r="CW26" s="354"/>
      <c r="CX26" s="354"/>
      <c r="CY26" s="354"/>
      <c r="CZ26" s="354"/>
      <c r="DA26" s="354"/>
      <c r="DB26" s="354"/>
      <c r="DC26" s="354"/>
      <c r="DD26" s="95"/>
      <c r="DE26" s="45"/>
      <c r="DF26" s="76"/>
      <c r="DG26" s="77">
        <f t="shared" si="188"/>
        <v>0</v>
      </c>
      <c r="DH26" s="68">
        <f t="shared" si="189"/>
        <v>0</v>
      </c>
      <c r="DI26" s="78"/>
      <c r="DJ26" s="189"/>
      <c r="DL26" s="146">
        <f t="shared" si="58"/>
        <v>0</v>
      </c>
      <c r="DM26" s="146">
        <f t="shared" si="190"/>
        <v>0</v>
      </c>
      <c r="DN26" s="146">
        <f t="shared" si="60"/>
        <v>0</v>
      </c>
      <c r="DO26" s="146">
        <f t="shared" si="61"/>
        <v>0</v>
      </c>
      <c r="DP26" s="146">
        <f t="shared" si="62"/>
        <v>0</v>
      </c>
      <c r="DQ26" s="146">
        <f t="shared" si="63"/>
        <v>0</v>
      </c>
      <c r="DR26" s="146">
        <f t="shared" si="64"/>
        <v>0</v>
      </c>
      <c r="DS26" s="146">
        <f t="shared" si="65"/>
        <v>0</v>
      </c>
      <c r="DT26" s="146">
        <f t="shared" si="66"/>
        <v>0</v>
      </c>
      <c r="DU26" s="146">
        <f t="shared" si="67"/>
        <v>0</v>
      </c>
      <c r="DV26" s="146">
        <f t="shared" si="68"/>
        <v>0</v>
      </c>
      <c r="DW26" s="181">
        <f t="shared" si="69"/>
        <v>0</v>
      </c>
      <c r="DY26" s="183" t="e">
        <f>$CD26*VLOOKUP($G26,'Рецепты а.б.'!$B$5:$AW$50,DY$67,0)</f>
        <v>#N/A</v>
      </c>
      <c r="DZ26" s="75" t="e">
        <f>$CD26*VLOOKUP($G26,'Рецепты а.б.'!$B$5:$AW$50,DZ$67,0)</f>
        <v>#N/A</v>
      </c>
      <c r="EA26" s="75" t="e">
        <f>$CD26*VLOOKUP($G26,'Рецепты а.б.'!$B$5:$AW$50,EA$67,0)</f>
        <v>#N/A</v>
      </c>
      <c r="EB26" s="75" t="e">
        <f>$CD26*VLOOKUP($G26,'Рецепты а.б.'!$B$5:$AW$50,EB$67,0)</f>
        <v>#N/A</v>
      </c>
      <c r="EC26" s="75" t="e">
        <f>$CD26*VLOOKUP($G26,'Рецепты а.б.'!$B$5:$AW$50,EC$67,0)</f>
        <v>#N/A</v>
      </c>
      <c r="ED26" s="75" t="e">
        <f>$CD26*VLOOKUP($G26,'Рецепты а.б.'!$B$5:$AW$50,ED$67,0)</f>
        <v>#N/A</v>
      </c>
      <c r="EE26" s="75" t="e">
        <f>$CD26*VLOOKUP($G26,'Рецепты а.б.'!$B$5:$AW$50,EE$67,0)</f>
        <v>#N/A</v>
      </c>
      <c r="EF26" s="75" t="e">
        <f>$CF26*VLOOKUP($G26,'Рецепты а.б.'!$B$5:$AW$50,EF$67,0)</f>
        <v>#N/A</v>
      </c>
      <c r="EG26" s="75" t="e">
        <f>$CF26*VLOOKUP($G26,'Рецепты а.б.'!$B$5:$AW$50,EG$67,0)</f>
        <v>#N/A</v>
      </c>
      <c r="EH26" s="75" t="e">
        <f>$CF26*VLOOKUP($G26,'Рецепты а.б.'!$B$5:$AW$50,EH$67,0)</f>
        <v>#N/A</v>
      </c>
      <c r="EI26" s="75" t="e">
        <f>$CF26*VLOOKUP($G26,'Рецепты а.б.'!$B$5:$AW$50,EI$67,0)</f>
        <v>#N/A</v>
      </c>
      <c r="EJ26" s="75" t="e">
        <f>$CF26*VLOOKUP($G26,'Рецепты а.б.'!$B$5:$AW$50,EJ$67,0)</f>
        <v>#N/A</v>
      </c>
      <c r="EK26" s="75" t="e">
        <f>$CF26*VLOOKUP($G26,'Рецепты а.б.'!$B$5:$AW$50,EK$67,0)</f>
        <v>#N/A</v>
      </c>
      <c r="EL26" s="75" t="e">
        <f>$CF26*VLOOKUP($G26,'Рецепты а.б.'!$B$5:$AW$50,EL$67,0)</f>
        <v>#N/A</v>
      </c>
      <c r="EM26" s="75" t="e">
        <f>$CG26*VLOOKUP($G26,'Рецепты а.б.'!$B$5:$AW$50,EM$67,0)</f>
        <v>#N/A</v>
      </c>
      <c r="EN26" s="75" t="e">
        <f>$CG26*VLOOKUP($G26,'Рецепты а.б.'!$B$5:$AW$50,EN$67,0)</f>
        <v>#N/A</v>
      </c>
      <c r="EO26" s="75" t="e">
        <f>$CG26*VLOOKUP($G26,'Рецепты а.б.'!$B$5:$AW$50,EO$67,0)</f>
        <v>#N/A</v>
      </c>
      <c r="EP26" s="75" t="e">
        <f>$CG26*VLOOKUP($G26,'Рецепты а.б.'!$B$5:$AW$50,EP$67,0)</f>
        <v>#N/A</v>
      </c>
      <c r="EQ26" s="75" t="e">
        <f>$CG26*VLOOKUP($G26,'Рецепты а.б.'!$B$5:$AW$50,EQ$67,0)</f>
        <v>#N/A</v>
      </c>
      <c r="ER26" s="75" t="e">
        <f>$CG26*VLOOKUP($G26,'Рецепты а.б.'!$B$5:$AW$50,ER$67,0)</f>
        <v>#N/A</v>
      </c>
      <c r="ES26" s="75" t="e">
        <f>$CG26*VLOOKUP($G26,'Рецепты а.б.'!$B$5:$AW$50,ES$67,0)</f>
        <v>#N/A</v>
      </c>
      <c r="ET26" s="75" t="e">
        <f>$CH26*VLOOKUP($G26,'Рецепты а.б.'!$B$5:$AW$50,ET$67,0)</f>
        <v>#N/A</v>
      </c>
      <c r="EU26" s="75" t="e">
        <f>$CH26*VLOOKUP($G26,'Рецепты а.б.'!$B$5:$AW$50,EU$67,0)</f>
        <v>#N/A</v>
      </c>
      <c r="EV26" s="75" t="e">
        <f>$CH26*VLOOKUP($G26,'Рецепты а.б.'!$B$5:$AW$50,EV$67,0)</f>
        <v>#N/A</v>
      </c>
      <c r="EW26" s="75" t="e">
        <f>$CH26*VLOOKUP($G26,'Рецепты а.б.'!$B$5:$AW$50,EW$67,0)</f>
        <v>#N/A</v>
      </c>
      <c r="EX26" s="75" t="e">
        <f>$CH26*VLOOKUP($G26,'Рецепты а.б.'!$B$5:$AW$50,EX$67,0)</f>
        <v>#N/A</v>
      </c>
      <c r="EY26" s="75" t="e">
        <f>$CI26*VLOOKUP($G26,'Рецепты а.б.'!$B$5:$AW$50,EY$67,0)</f>
        <v>#N/A</v>
      </c>
      <c r="EZ26" s="75" t="e">
        <f>$CI26*VLOOKUP($G26,'Рецепты а.б.'!$B$5:$AW$50,EZ$67,0)</f>
        <v>#N/A</v>
      </c>
      <c r="FA26" s="75" t="e">
        <f>$CI26*VLOOKUP($G26,'Рецепты а.б.'!$B$5:$AW$50,FA$67,0)</f>
        <v>#N/A</v>
      </c>
      <c r="FB26" s="75" t="e">
        <f>$CI26*VLOOKUP($G26,'Рецепты а.б.'!$B$5:$AW$50,FB$67,0)</f>
        <v>#N/A</v>
      </c>
      <c r="FC26" s="75" t="e">
        <f>$CI26*VLOOKUP($G26,'Рецепты а.б.'!$B$5:$AW$50,FC$67,0)</f>
        <v>#N/A</v>
      </c>
      <c r="FD26" s="75" t="e">
        <f>$CI26*VLOOKUP($G26,'Рецепты а.б.'!$B$5:$AW$50,FD$67,0)</f>
        <v>#N/A</v>
      </c>
      <c r="FE26" s="75" t="e">
        <f>$CJ26*VLOOKUP($G26,'Рецепты а.б.'!$B$5:$AW$50,FE$67,0)</f>
        <v>#N/A</v>
      </c>
      <c r="FF26" s="75" t="e">
        <f>$CJ26*VLOOKUP($G26,'Рецепты а.б.'!$B$5:$AW$50,FF$67,0)</f>
        <v>#N/A</v>
      </c>
      <c r="FG26" s="75" t="e">
        <f>$CE26*VLOOKUP($G26,'Рецепты а.б.'!$B$5:$AW$50,FG$67,0)</f>
        <v>#N/A</v>
      </c>
      <c r="FH26" s="75" t="e">
        <f>$CE26*VLOOKUP($G26,'Рецепты а.б.'!$B$5:$AW$50,FH$67,0)</f>
        <v>#N/A</v>
      </c>
      <c r="FI26" s="75" t="e">
        <f>$CE26*VLOOKUP($G26,'Рецепты а.б.'!$B$5:$AW$50,FI$67,0)</f>
        <v>#N/A</v>
      </c>
      <c r="FJ26" s="75" t="e">
        <f>$CE26*VLOOKUP($G26,'Рецепты а.б.'!$B$5:$AW$50,FJ$67,0)</f>
        <v>#N/A</v>
      </c>
      <c r="FK26" s="75" t="e">
        <f>$CE26*VLOOKUP($G26,'Рецепты а.б.'!$B$5:$AW$50,FK$67,0)</f>
        <v>#N/A</v>
      </c>
      <c r="FL26" s="75" t="e">
        <f>$CE26*VLOOKUP($G26,'Рецепты а.б.'!$B$5:$AW$50,FL$67,0)</f>
        <v>#N/A</v>
      </c>
      <c r="FM26" s="75" t="e">
        <f>$CE26*VLOOKUP($G26,'Рецепты а.б.'!$B$5:$AW$50,FM$67,0)</f>
        <v>#N/A</v>
      </c>
      <c r="FN26" s="75" t="e">
        <f>$CE26*VLOOKUP($G26,'Рецепты а.б.'!$B$5:$AW$50,FN$67,0)</f>
        <v>#N/A</v>
      </c>
    </row>
    <row r="27" spans="1:170" s="64" customFormat="1" hidden="1" x14ac:dyDescent="0.2">
      <c r="A27" s="127">
        <f t="shared" si="201"/>
        <v>24</v>
      </c>
      <c r="B27" s="344"/>
      <c r="C27" s="344"/>
      <c r="D27" s="344"/>
      <c r="E27" s="420" t="s">
        <v>331</v>
      </c>
      <c r="F27" s="345"/>
      <c r="G27" s="346"/>
      <c r="H27" s="419" t="s">
        <v>206</v>
      </c>
      <c r="I27" s="347"/>
      <c r="J27" s="348"/>
      <c r="K27" s="348"/>
      <c r="L27" s="348"/>
      <c r="M27" s="348"/>
      <c r="N27" s="348"/>
      <c r="O27" s="65">
        <f t="shared" si="199"/>
        <v>0</v>
      </c>
      <c r="P27" s="342">
        <f t="shared" si="5"/>
        <v>0</v>
      </c>
      <c r="Q27" s="342"/>
      <c r="R27" s="342"/>
      <c r="S27" s="342"/>
      <c r="T27" s="65">
        <f t="shared" si="200"/>
        <v>0</v>
      </c>
      <c r="U27" s="66">
        <f t="shared" si="150"/>
        <v>0</v>
      </c>
      <c r="V27" s="66">
        <f t="shared" si="151"/>
        <v>0</v>
      </c>
      <c r="W27" s="349">
        <f t="shared" si="152"/>
        <v>0</v>
      </c>
      <c r="X27" s="350"/>
      <c r="Y27" s="350"/>
      <c r="Z27" s="351"/>
      <c r="AA27" s="66">
        <f t="shared" si="153"/>
        <v>0</v>
      </c>
      <c r="AB27" s="66">
        <f t="shared" si="154"/>
        <v>0</v>
      </c>
      <c r="AC27" s="66">
        <f t="shared" si="155"/>
        <v>0</v>
      </c>
      <c r="AD27" s="66">
        <f t="shared" si="156"/>
        <v>0</v>
      </c>
      <c r="AE27" s="66">
        <f t="shared" si="14"/>
        <v>0</v>
      </c>
      <c r="AF27" s="66">
        <f t="shared" si="15"/>
        <v>0</v>
      </c>
      <c r="AG27" s="66">
        <f t="shared" si="16"/>
        <v>0</v>
      </c>
      <c r="AH27" s="66">
        <f t="shared" si="17"/>
        <v>0</v>
      </c>
      <c r="AI27" s="66">
        <f t="shared" si="18"/>
        <v>0</v>
      </c>
      <c r="AJ27" s="66">
        <f t="shared" si="197"/>
        <v>0</v>
      </c>
      <c r="AK27" s="67">
        <f t="shared" si="158"/>
        <v>0</v>
      </c>
      <c r="AL27" s="67">
        <f t="shared" si="159"/>
        <v>0</v>
      </c>
      <c r="AM27" s="67">
        <f t="shared" si="160"/>
        <v>0</v>
      </c>
      <c r="AN27" s="67">
        <f t="shared" si="23"/>
        <v>0</v>
      </c>
      <c r="AO27" s="66">
        <f t="shared" si="198"/>
        <v>0</v>
      </c>
      <c r="AP27" s="66">
        <f t="shared" si="162"/>
        <v>0</v>
      </c>
      <c r="AQ27" s="66">
        <f t="shared" si="163"/>
        <v>0</v>
      </c>
      <c r="AR27" s="66">
        <f t="shared" si="164"/>
        <v>0</v>
      </c>
      <c r="AS27" s="66">
        <f t="shared" si="165"/>
        <v>0</v>
      </c>
      <c r="AT27" s="66">
        <f t="shared" si="166"/>
        <v>0</v>
      </c>
      <c r="AU27" s="66">
        <f t="shared" si="167"/>
        <v>0</v>
      </c>
      <c r="AV27" s="66">
        <f t="shared" si="168"/>
        <v>0</v>
      </c>
      <c r="AW27" s="66">
        <f t="shared" si="169"/>
        <v>0</v>
      </c>
      <c r="AX27" s="66">
        <f t="shared" si="170"/>
        <v>0</v>
      </c>
      <c r="AY27" s="66">
        <f t="shared" si="171"/>
        <v>0</v>
      </c>
      <c r="AZ27" s="66">
        <f t="shared" si="172"/>
        <v>0</v>
      </c>
      <c r="BA27" s="66">
        <f t="shared" si="173"/>
        <v>0</v>
      </c>
      <c r="BB27" s="66">
        <f t="shared" si="174"/>
        <v>0</v>
      </c>
      <c r="BC27" s="66">
        <f t="shared" si="175"/>
        <v>0</v>
      </c>
      <c r="BD27" s="66">
        <f t="shared" si="176"/>
        <v>0</v>
      </c>
      <c r="BE27" s="66">
        <f t="shared" si="177"/>
        <v>0</v>
      </c>
      <c r="BF27" s="66">
        <f t="shared" si="178"/>
        <v>0</v>
      </c>
      <c r="BG27" s="66">
        <f t="shared" si="179"/>
        <v>0</v>
      </c>
      <c r="BH27" s="66">
        <f t="shared" si="180"/>
        <v>0</v>
      </c>
      <c r="BI27" s="66">
        <f t="shared" si="181"/>
        <v>0</v>
      </c>
      <c r="BJ27" s="68">
        <f t="shared" si="182"/>
        <v>0</v>
      </c>
      <c r="BK27" s="352">
        <v>1</v>
      </c>
      <c r="BL27" s="352">
        <v>12</v>
      </c>
      <c r="BM27" s="263">
        <v>1</v>
      </c>
      <c r="BN27" s="263">
        <v>12</v>
      </c>
      <c r="BO27" s="69">
        <f t="shared" si="183"/>
        <v>42186</v>
      </c>
      <c r="BP27" s="69">
        <f t="shared" si="184"/>
        <v>42552</v>
      </c>
      <c r="BQ27" s="70">
        <f t="shared" si="46"/>
        <v>6.54E-2</v>
      </c>
      <c r="BR27" s="285">
        <f t="shared" si="47"/>
        <v>0.1391</v>
      </c>
      <c r="BS27" s="68">
        <f t="shared" si="185"/>
        <v>0</v>
      </c>
      <c r="BT27" s="68">
        <f t="shared" si="186"/>
        <v>0</v>
      </c>
      <c r="BU27" s="353"/>
      <c r="BV27" s="71" t="e">
        <f t="shared" si="187"/>
        <v>#DIV/0!</v>
      </c>
      <c r="BW27" s="72"/>
      <c r="BX27" s="73" t="e">
        <f t="shared" si="51"/>
        <v>#DIV/0!</v>
      </c>
      <c r="BY27" s="73" t="e">
        <f t="shared" si="52"/>
        <v>#DIV/0!</v>
      </c>
      <c r="BZ27" s="73" t="e">
        <f t="shared" si="53"/>
        <v>#DIV/0!</v>
      </c>
      <c r="CA27" s="73" t="e">
        <f t="shared" si="54"/>
        <v>#DIV/0!</v>
      </c>
      <c r="CB27" s="73" t="e">
        <f t="shared" si="55"/>
        <v>#DIV/0!</v>
      </c>
      <c r="CD27" s="354"/>
      <c r="CE27" s="354"/>
      <c r="CF27" s="354"/>
      <c r="CG27" s="354"/>
      <c r="CH27" s="354"/>
      <c r="CI27" s="354"/>
      <c r="CJ27" s="354"/>
      <c r="CK27" s="354"/>
      <c r="CL27" s="354"/>
      <c r="CM27" s="354"/>
      <c r="CN27" s="354"/>
      <c r="CO27" s="354"/>
      <c r="CP27" s="354"/>
      <c r="CQ27" s="354"/>
      <c r="CR27" s="354"/>
      <c r="CS27" s="354"/>
      <c r="CT27" s="354"/>
      <c r="CU27" s="354"/>
      <c r="CV27" s="354"/>
      <c r="CW27" s="354"/>
      <c r="CX27" s="354"/>
      <c r="CY27" s="354"/>
      <c r="CZ27" s="354"/>
      <c r="DA27" s="354"/>
      <c r="DB27" s="354"/>
      <c r="DC27" s="354"/>
      <c r="DD27" s="95"/>
      <c r="DE27" s="45"/>
      <c r="DF27" s="76"/>
      <c r="DG27" s="77">
        <f t="shared" si="188"/>
        <v>0</v>
      </c>
      <c r="DH27" s="68">
        <f t="shared" si="189"/>
        <v>0</v>
      </c>
      <c r="DI27" s="78"/>
      <c r="DJ27" s="189"/>
      <c r="DL27" s="146">
        <f t="shared" si="58"/>
        <v>0</v>
      </c>
      <c r="DM27" s="146">
        <f t="shared" si="190"/>
        <v>0</v>
      </c>
      <c r="DN27" s="146">
        <f t="shared" si="60"/>
        <v>0</v>
      </c>
      <c r="DO27" s="146">
        <f t="shared" si="61"/>
        <v>0</v>
      </c>
      <c r="DP27" s="146">
        <f t="shared" si="62"/>
        <v>0</v>
      </c>
      <c r="DQ27" s="146">
        <f t="shared" si="63"/>
        <v>0</v>
      </c>
      <c r="DR27" s="146">
        <f t="shared" si="64"/>
        <v>0</v>
      </c>
      <c r="DS27" s="146">
        <f t="shared" si="65"/>
        <v>0</v>
      </c>
      <c r="DT27" s="146">
        <f t="shared" si="66"/>
        <v>0</v>
      </c>
      <c r="DU27" s="146">
        <f t="shared" si="67"/>
        <v>0</v>
      </c>
      <c r="DV27" s="146">
        <f t="shared" si="68"/>
        <v>0</v>
      </c>
      <c r="DW27" s="181">
        <f t="shared" si="69"/>
        <v>0</v>
      </c>
      <c r="DY27" s="183" t="e">
        <f>$CD27*VLOOKUP($G27,'Рецепты а.б.'!$B$5:$AW$50,DY$67,0)</f>
        <v>#N/A</v>
      </c>
      <c r="DZ27" s="75" t="e">
        <f>$CD27*VLOOKUP($G27,'Рецепты а.б.'!$B$5:$AW$50,DZ$67,0)</f>
        <v>#N/A</v>
      </c>
      <c r="EA27" s="75" t="e">
        <f>$CD27*VLOOKUP($G27,'Рецепты а.б.'!$B$5:$AW$50,EA$67,0)</f>
        <v>#N/A</v>
      </c>
      <c r="EB27" s="75" t="e">
        <f>$CD27*VLOOKUP($G27,'Рецепты а.б.'!$B$5:$AW$50,EB$67,0)</f>
        <v>#N/A</v>
      </c>
      <c r="EC27" s="75" t="e">
        <f>$CD27*VLOOKUP($G27,'Рецепты а.б.'!$B$5:$AW$50,EC$67,0)</f>
        <v>#N/A</v>
      </c>
      <c r="ED27" s="75" t="e">
        <f>$CD27*VLOOKUP($G27,'Рецепты а.б.'!$B$5:$AW$50,ED$67,0)</f>
        <v>#N/A</v>
      </c>
      <c r="EE27" s="75" t="e">
        <f>$CD27*VLOOKUP($G27,'Рецепты а.б.'!$B$5:$AW$50,EE$67,0)</f>
        <v>#N/A</v>
      </c>
      <c r="EF27" s="75" t="e">
        <f>$CF27*VLOOKUP($G27,'Рецепты а.б.'!$B$5:$AW$50,EF$67,0)</f>
        <v>#N/A</v>
      </c>
      <c r="EG27" s="75" t="e">
        <f>$CF27*VLOOKUP($G27,'Рецепты а.б.'!$B$5:$AW$50,EG$67,0)</f>
        <v>#N/A</v>
      </c>
      <c r="EH27" s="75" t="e">
        <f>$CF27*VLOOKUP($G27,'Рецепты а.б.'!$B$5:$AW$50,EH$67,0)</f>
        <v>#N/A</v>
      </c>
      <c r="EI27" s="75" t="e">
        <f>$CF27*VLOOKUP($G27,'Рецепты а.б.'!$B$5:$AW$50,EI$67,0)</f>
        <v>#N/A</v>
      </c>
      <c r="EJ27" s="75" t="e">
        <f>$CF27*VLOOKUP($G27,'Рецепты а.б.'!$B$5:$AW$50,EJ$67,0)</f>
        <v>#N/A</v>
      </c>
      <c r="EK27" s="75" t="e">
        <f>$CF27*VLOOKUP($G27,'Рецепты а.б.'!$B$5:$AW$50,EK$67,0)</f>
        <v>#N/A</v>
      </c>
      <c r="EL27" s="75" t="e">
        <f>$CF27*VLOOKUP($G27,'Рецепты а.б.'!$B$5:$AW$50,EL$67,0)</f>
        <v>#N/A</v>
      </c>
      <c r="EM27" s="75" t="e">
        <f>$CG27*VLOOKUP($G27,'Рецепты а.б.'!$B$5:$AW$50,EM$67,0)</f>
        <v>#N/A</v>
      </c>
      <c r="EN27" s="75" t="e">
        <f>$CG27*VLOOKUP($G27,'Рецепты а.б.'!$B$5:$AW$50,EN$67,0)</f>
        <v>#N/A</v>
      </c>
      <c r="EO27" s="75" t="e">
        <f>$CG27*VLOOKUP($G27,'Рецепты а.б.'!$B$5:$AW$50,EO$67,0)</f>
        <v>#N/A</v>
      </c>
      <c r="EP27" s="75" t="e">
        <f>$CG27*VLOOKUP($G27,'Рецепты а.б.'!$B$5:$AW$50,EP$67,0)</f>
        <v>#N/A</v>
      </c>
      <c r="EQ27" s="75" t="e">
        <f>$CG27*VLOOKUP($G27,'Рецепты а.б.'!$B$5:$AW$50,EQ$67,0)</f>
        <v>#N/A</v>
      </c>
      <c r="ER27" s="75" t="e">
        <f>$CG27*VLOOKUP($G27,'Рецепты а.б.'!$B$5:$AW$50,ER$67,0)</f>
        <v>#N/A</v>
      </c>
      <c r="ES27" s="75" t="e">
        <f>$CG27*VLOOKUP($G27,'Рецепты а.б.'!$B$5:$AW$50,ES$67,0)</f>
        <v>#N/A</v>
      </c>
      <c r="ET27" s="75" t="e">
        <f>$CH27*VLOOKUP($G27,'Рецепты а.б.'!$B$5:$AW$50,ET$67,0)</f>
        <v>#N/A</v>
      </c>
      <c r="EU27" s="75" t="e">
        <f>$CH27*VLOOKUP($G27,'Рецепты а.б.'!$B$5:$AW$50,EU$67,0)</f>
        <v>#N/A</v>
      </c>
      <c r="EV27" s="75" t="e">
        <f>$CH27*VLOOKUP($G27,'Рецепты а.б.'!$B$5:$AW$50,EV$67,0)</f>
        <v>#N/A</v>
      </c>
      <c r="EW27" s="75" t="e">
        <f>$CH27*VLOOKUP($G27,'Рецепты а.б.'!$B$5:$AW$50,EW$67,0)</f>
        <v>#N/A</v>
      </c>
      <c r="EX27" s="75" t="e">
        <f>$CH27*VLOOKUP($G27,'Рецепты а.б.'!$B$5:$AW$50,EX$67,0)</f>
        <v>#N/A</v>
      </c>
      <c r="EY27" s="75" t="e">
        <f>$CI27*VLOOKUP($G27,'Рецепты а.б.'!$B$5:$AW$50,EY$67,0)</f>
        <v>#N/A</v>
      </c>
      <c r="EZ27" s="75" t="e">
        <f>$CI27*VLOOKUP($G27,'Рецепты а.б.'!$B$5:$AW$50,EZ$67,0)</f>
        <v>#N/A</v>
      </c>
      <c r="FA27" s="75" t="e">
        <f>$CI27*VLOOKUP($G27,'Рецепты а.б.'!$B$5:$AW$50,FA$67,0)</f>
        <v>#N/A</v>
      </c>
      <c r="FB27" s="75" t="e">
        <f>$CI27*VLOOKUP($G27,'Рецепты а.б.'!$B$5:$AW$50,FB$67,0)</f>
        <v>#N/A</v>
      </c>
      <c r="FC27" s="75" t="e">
        <f>$CI27*VLOOKUP($G27,'Рецепты а.б.'!$B$5:$AW$50,FC$67,0)</f>
        <v>#N/A</v>
      </c>
      <c r="FD27" s="75" t="e">
        <f>$CI27*VLOOKUP($G27,'Рецепты а.б.'!$B$5:$AW$50,FD$67,0)</f>
        <v>#N/A</v>
      </c>
      <c r="FE27" s="75" t="e">
        <f>$CJ27*VLOOKUP($G27,'Рецепты а.б.'!$B$5:$AW$50,FE$67,0)</f>
        <v>#N/A</v>
      </c>
      <c r="FF27" s="75" t="e">
        <f>$CJ27*VLOOKUP($G27,'Рецепты а.б.'!$B$5:$AW$50,FF$67,0)</f>
        <v>#N/A</v>
      </c>
      <c r="FG27" s="75" t="e">
        <f>$CE27*VLOOKUP($G27,'Рецепты а.б.'!$B$5:$AW$50,FG$67,0)</f>
        <v>#N/A</v>
      </c>
      <c r="FH27" s="75" t="e">
        <f>$CE27*VLOOKUP($G27,'Рецепты а.б.'!$B$5:$AW$50,FH$67,0)</f>
        <v>#N/A</v>
      </c>
      <c r="FI27" s="75" t="e">
        <f>$CE27*VLOOKUP($G27,'Рецепты а.б.'!$B$5:$AW$50,FI$67,0)</f>
        <v>#N/A</v>
      </c>
      <c r="FJ27" s="75" t="e">
        <f>$CE27*VLOOKUP($G27,'Рецепты а.б.'!$B$5:$AW$50,FJ$67,0)</f>
        <v>#N/A</v>
      </c>
      <c r="FK27" s="75" t="e">
        <f>$CE27*VLOOKUP($G27,'Рецепты а.б.'!$B$5:$AW$50,FK$67,0)</f>
        <v>#N/A</v>
      </c>
      <c r="FL27" s="75" t="e">
        <f>$CE27*VLOOKUP($G27,'Рецепты а.б.'!$B$5:$AW$50,FL$67,0)</f>
        <v>#N/A</v>
      </c>
      <c r="FM27" s="75" t="e">
        <f>$CE27*VLOOKUP($G27,'Рецепты а.б.'!$B$5:$AW$50,FM$67,0)</f>
        <v>#N/A</v>
      </c>
      <c r="FN27" s="75" t="e">
        <f>$CE27*VLOOKUP($G27,'Рецепты а.б.'!$B$5:$AW$50,FN$67,0)</f>
        <v>#N/A</v>
      </c>
    </row>
    <row r="28" spans="1:170" s="64" customFormat="1" hidden="1" x14ac:dyDescent="0.2">
      <c r="A28" s="127">
        <f t="shared" si="201"/>
        <v>25</v>
      </c>
      <c r="B28" s="344"/>
      <c r="C28" s="344"/>
      <c r="D28" s="344"/>
      <c r="E28" s="420" t="s">
        <v>331</v>
      </c>
      <c r="F28" s="345"/>
      <c r="G28" s="346"/>
      <c r="H28" s="419" t="s">
        <v>206</v>
      </c>
      <c r="I28" s="347"/>
      <c r="J28" s="348"/>
      <c r="K28" s="348"/>
      <c r="L28" s="348"/>
      <c r="M28" s="348"/>
      <c r="N28" s="348"/>
      <c r="O28" s="65">
        <f t="shared" ref="O28:O29" si="202">SUM(J28:N28)</f>
        <v>0</v>
      </c>
      <c r="P28" s="342">
        <f t="shared" si="5"/>
        <v>0</v>
      </c>
      <c r="Q28" s="342"/>
      <c r="R28" s="342"/>
      <c r="S28" s="342"/>
      <c r="T28" s="65">
        <f t="shared" ref="T28:T29" si="203">SUM(P28:S28)</f>
        <v>0</v>
      </c>
      <c r="U28" s="66">
        <f t="shared" si="150"/>
        <v>0</v>
      </c>
      <c r="V28" s="66">
        <f t="shared" si="151"/>
        <v>0</v>
      </c>
      <c r="W28" s="349">
        <f t="shared" si="152"/>
        <v>0</v>
      </c>
      <c r="X28" s="350"/>
      <c r="Y28" s="350"/>
      <c r="Z28" s="351"/>
      <c r="AA28" s="66">
        <f t="shared" si="153"/>
        <v>0</v>
      </c>
      <c r="AB28" s="66">
        <f t="shared" si="154"/>
        <v>0</v>
      </c>
      <c r="AC28" s="66">
        <f t="shared" si="155"/>
        <v>0</v>
      </c>
      <c r="AD28" s="66">
        <f t="shared" si="156"/>
        <v>0</v>
      </c>
      <c r="AE28" s="66">
        <f t="shared" si="14"/>
        <v>0</v>
      </c>
      <c r="AF28" s="66">
        <f t="shared" si="15"/>
        <v>0</v>
      </c>
      <c r="AG28" s="66">
        <f t="shared" si="16"/>
        <v>0</v>
      </c>
      <c r="AH28" s="66">
        <f t="shared" si="17"/>
        <v>0</v>
      </c>
      <c r="AI28" s="66">
        <f t="shared" si="18"/>
        <v>0</v>
      </c>
      <c r="AJ28" s="66">
        <f t="shared" si="197"/>
        <v>0</v>
      </c>
      <c r="AK28" s="67">
        <f t="shared" si="158"/>
        <v>0</v>
      </c>
      <c r="AL28" s="67">
        <f t="shared" si="159"/>
        <v>0</v>
      </c>
      <c r="AM28" s="67">
        <f t="shared" si="160"/>
        <v>0</v>
      </c>
      <c r="AN28" s="67">
        <f t="shared" si="23"/>
        <v>0</v>
      </c>
      <c r="AO28" s="66">
        <f t="shared" ref="AO28:AO29" si="204">SUM(AK28:AN28)</f>
        <v>0</v>
      </c>
      <c r="AP28" s="66">
        <f t="shared" si="162"/>
        <v>0</v>
      </c>
      <c r="AQ28" s="66">
        <f t="shared" si="163"/>
        <v>0</v>
      </c>
      <c r="AR28" s="66">
        <f t="shared" si="164"/>
        <v>0</v>
      </c>
      <c r="AS28" s="66">
        <f t="shared" si="165"/>
        <v>0</v>
      </c>
      <c r="AT28" s="66">
        <f t="shared" si="166"/>
        <v>0</v>
      </c>
      <c r="AU28" s="66">
        <f t="shared" si="167"/>
        <v>0</v>
      </c>
      <c r="AV28" s="66">
        <f t="shared" si="168"/>
        <v>0</v>
      </c>
      <c r="AW28" s="66">
        <f t="shared" si="169"/>
        <v>0</v>
      </c>
      <c r="AX28" s="66">
        <f t="shared" si="170"/>
        <v>0</v>
      </c>
      <c r="AY28" s="66">
        <f t="shared" si="171"/>
        <v>0</v>
      </c>
      <c r="AZ28" s="66">
        <f t="shared" si="172"/>
        <v>0</v>
      </c>
      <c r="BA28" s="66">
        <f t="shared" si="173"/>
        <v>0</v>
      </c>
      <c r="BB28" s="66">
        <f t="shared" si="174"/>
        <v>0</v>
      </c>
      <c r="BC28" s="66">
        <f t="shared" si="175"/>
        <v>0</v>
      </c>
      <c r="BD28" s="66">
        <f t="shared" si="176"/>
        <v>0</v>
      </c>
      <c r="BE28" s="66">
        <f t="shared" si="177"/>
        <v>0</v>
      </c>
      <c r="BF28" s="66">
        <f t="shared" si="178"/>
        <v>0</v>
      </c>
      <c r="BG28" s="66">
        <f t="shared" si="179"/>
        <v>0</v>
      </c>
      <c r="BH28" s="66">
        <f t="shared" si="180"/>
        <v>0</v>
      </c>
      <c r="BI28" s="66">
        <f t="shared" si="181"/>
        <v>0</v>
      </c>
      <c r="BJ28" s="68">
        <f t="shared" si="182"/>
        <v>0</v>
      </c>
      <c r="BK28" s="352">
        <v>1</v>
      </c>
      <c r="BL28" s="352">
        <v>12</v>
      </c>
      <c r="BM28" s="263">
        <v>1</v>
      </c>
      <c r="BN28" s="263">
        <v>12</v>
      </c>
      <c r="BO28" s="69">
        <f t="shared" si="183"/>
        <v>42186</v>
      </c>
      <c r="BP28" s="69">
        <f t="shared" si="184"/>
        <v>42552</v>
      </c>
      <c r="BQ28" s="70">
        <f t="shared" si="46"/>
        <v>6.54E-2</v>
      </c>
      <c r="BR28" s="285">
        <f t="shared" si="47"/>
        <v>0.1391</v>
      </c>
      <c r="BS28" s="68">
        <f t="shared" si="185"/>
        <v>0</v>
      </c>
      <c r="BT28" s="68">
        <f t="shared" si="186"/>
        <v>0</v>
      </c>
      <c r="BU28" s="353"/>
      <c r="BV28" s="71" t="e">
        <f t="shared" si="187"/>
        <v>#DIV/0!</v>
      </c>
      <c r="BW28" s="72"/>
      <c r="BX28" s="73" t="e">
        <f t="shared" si="51"/>
        <v>#DIV/0!</v>
      </c>
      <c r="BY28" s="73" t="e">
        <f t="shared" si="52"/>
        <v>#DIV/0!</v>
      </c>
      <c r="BZ28" s="73" t="e">
        <f t="shared" si="53"/>
        <v>#DIV/0!</v>
      </c>
      <c r="CA28" s="73" t="e">
        <f t="shared" si="54"/>
        <v>#DIV/0!</v>
      </c>
      <c r="CB28" s="73" t="e">
        <f t="shared" si="55"/>
        <v>#DIV/0!</v>
      </c>
      <c r="CD28" s="354"/>
      <c r="CE28" s="354"/>
      <c r="CF28" s="354"/>
      <c r="CG28" s="354"/>
      <c r="CH28" s="354"/>
      <c r="CI28" s="354"/>
      <c r="CJ28" s="354"/>
      <c r="CK28" s="354"/>
      <c r="CL28" s="354"/>
      <c r="CM28" s="354"/>
      <c r="CN28" s="354"/>
      <c r="CO28" s="354"/>
      <c r="CP28" s="354"/>
      <c r="CQ28" s="354"/>
      <c r="CR28" s="354"/>
      <c r="CS28" s="354"/>
      <c r="CT28" s="354"/>
      <c r="CU28" s="354"/>
      <c r="CV28" s="354"/>
      <c r="CW28" s="354"/>
      <c r="CX28" s="354"/>
      <c r="CY28" s="354"/>
      <c r="CZ28" s="354"/>
      <c r="DA28" s="354"/>
      <c r="DB28" s="354"/>
      <c r="DC28" s="354"/>
      <c r="DD28" s="95"/>
      <c r="DE28" s="45"/>
      <c r="DF28" s="76"/>
      <c r="DG28" s="77">
        <f t="shared" si="188"/>
        <v>0</v>
      </c>
      <c r="DH28" s="68">
        <f t="shared" si="189"/>
        <v>0</v>
      </c>
      <c r="DI28" s="78"/>
      <c r="DJ28" s="189"/>
      <c r="DL28" s="146">
        <f t="shared" si="58"/>
        <v>0</v>
      </c>
      <c r="DM28" s="146">
        <f t="shared" si="190"/>
        <v>0</v>
      </c>
      <c r="DN28" s="146">
        <f t="shared" si="60"/>
        <v>0</v>
      </c>
      <c r="DO28" s="146">
        <f t="shared" si="61"/>
        <v>0</v>
      </c>
      <c r="DP28" s="146">
        <f t="shared" si="62"/>
        <v>0</v>
      </c>
      <c r="DQ28" s="146">
        <f t="shared" si="63"/>
        <v>0</v>
      </c>
      <c r="DR28" s="146">
        <f t="shared" si="64"/>
        <v>0</v>
      </c>
      <c r="DS28" s="146">
        <f t="shared" si="65"/>
        <v>0</v>
      </c>
      <c r="DT28" s="146">
        <f t="shared" si="66"/>
        <v>0</v>
      </c>
      <c r="DU28" s="146">
        <f t="shared" si="67"/>
        <v>0</v>
      </c>
      <c r="DV28" s="146">
        <f t="shared" si="68"/>
        <v>0</v>
      </c>
      <c r="DW28" s="181">
        <f t="shared" si="69"/>
        <v>0</v>
      </c>
      <c r="DY28" s="183" t="e">
        <f>$CD28*VLOOKUP($G28,'Рецепты а.б.'!$B$5:$AW$50,DY$67,0)</f>
        <v>#N/A</v>
      </c>
      <c r="DZ28" s="75" t="e">
        <f>$CD28*VLOOKUP($G28,'Рецепты а.б.'!$B$5:$AW$50,DZ$67,0)</f>
        <v>#N/A</v>
      </c>
      <c r="EA28" s="75" t="e">
        <f>$CD28*VLOOKUP($G28,'Рецепты а.б.'!$B$5:$AW$50,EA$67,0)</f>
        <v>#N/A</v>
      </c>
      <c r="EB28" s="75" t="e">
        <f>$CD28*VLOOKUP($G28,'Рецепты а.б.'!$B$5:$AW$50,EB$67,0)</f>
        <v>#N/A</v>
      </c>
      <c r="EC28" s="75" t="e">
        <f>$CD28*VLOOKUP($G28,'Рецепты а.б.'!$B$5:$AW$50,EC$67,0)</f>
        <v>#N/A</v>
      </c>
      <c r="ED28" s="75" t="e">
        <f>$CD28*VLOOKUP($G28,'Рецепты а.б.'!$B$5:$AW$50,ED$67,0)</f>
        <v>#N/A</v>
      </c>
      <c r="EE28" s="75" t="e">
        <f>$CD28*VLOOKUP($G28,'Рецепты а.б.'!$B$5:$AW$50,EE$67,0)</f>
        <v>#N/A</v>
      </c>
      <c r="EF28" s="75" t="e">
        <f>$CF28*VLOOKUP($G28,'Рецепты а.б.'!$B$5:$AW$50,EF$67,0)</f>
        <v>#N/A</v>
      </c>
      <c r="EG28" s="75" t="e">
        <f>$CF28*VLOOKUP($G28,'Рецепты а.б.'!$B$5:$AW$50,EG$67,0)</f>
        <v>#N/A</v>
      </c>
      <c r="EH28" s="75" t="e">
        <f>$CF28*VLOOKUP($G28,'Рецепты а.б.'!$B$5:$AW$50,EH$67,0)</f>
        <v>#N/A</v>
      </c>
      <c r="EI28" s="75" t="e">
        <f>$CF28*VLOOKUP($G28,'Рецепты а.б.'!$B$5:$AW$50,EI$67,0)</f>
        <v>#N/A</v>
      </c>
      <c r="EJ28" s="75" t="e">
        <f>$CF28*VLOOKUP($G28,'Рецепты а.б.'!$B$5:$AW$50,EJ$67,0)</f>
        <v>#N/A</v>
      </c>
      <c r="EK28" s="75" t="e">
        <f>$CF28*VLOOKUP($G28,'Рецепты а.б.'!$B$5:$AW$50,EK$67,0)</f>
        <v>#N/A</v>
      </c>
      <c r="EL28" s="75" t="e">
        <f>$CF28*VLOOKUP($G28,'Рецепты а.б.'!$B$5:$AW$50,EL$67,0)</f>
        <v>#N/A</v>
      </c>
      <c r="EM28" s="75" t="e">
        <f>$CG28*VLOOKUP($G28,'Рецепты а.б.'!$B$5:$AW$50,EM$67,0)</f>
        <v>#N/A</v>
      </c>
      <c r="EN28" s="75" t="e">
        <f>$CG28*VLOOKUP($G28,'Рецепты а.б.'!$B$5:$AW$50,EN$67,0)</f>
        <v>#N/A</v>
      </c>
      <c r="EO28" s="75" t="e">
        <f>$CG28*VLOOKUP($G28,'Рецепты а.б.'!$B$5:$AW$50,EO$67,0)</f>
        <v>#N/A</v>
      </c>
      <c r="EP28" s="75" t="e">
        <f>$CG28*VLOOKUP($G28,'Рецепты а.б.'!$B$5:$AW$50,EP$67,0)</f>
        <v>#N/A</v>
      </c>
      <c r="EQ28" s="75" t="e">
        <f>$CG28*VLOOKUP($G28,'Рецепты а.б.'!$B$5:$AW$50,EQ$67,0)</f>
        <v>#N/A</v>
      </c>
      <c r="ER28" s="75" t="e">
        <f>$CG28*VLOOKUP($G28,'Рецепты а.б.'!$B$5:$AW$50,ER$67,0)</f>
        <v>#N/A</v>
      </c>
      <c r="ES28" s="75" t="e">
        <f>$CG28*VLOOKUP($G28,'Рецепты а.б.'!$B$5:$AW$50,ES$67,0)</f>
        <v>#N/A</v>
      </c>
      <c r="ET28" s="75" t="e">
        <f>$CH28*VLOOKUP($G28,'Рецепты а.б.'!$B$5:$AW$50,ET$67,0)</f>
        <v>#N/A</v>
      </c>
      <c r="EU28" s="75" t="e">
        <f>$CH28*VLOOKUP($G28,'Рецепты а.б.'!$B$5:$AW$50,EU$67,0)</f>
        <v>#N/A</v>
      </c>
      <c r="EV28" s="75" t="e">
        <f>$CH28*VLOOKUP($G28,'Рецепты а.б.'!$B$5:$AW$50,EV$67,0)</f>
        <v>#N/A</v>
      </c>
      <c r="EW28" s="75" t="e">
        <f>$CH28*VLOOKUP($G28,'Рецепты а.б.'!$B$5:$AW$50,EW$67,0)</f>
        <v>#N/A</v>
      </c>
      <c r="EX28" s="75" t="e">
        <f>$CH28*VLOOKUP($G28,'Рецепты а.б.'!$B$5:$AW$50,EX$67,0)</f>
        <v>#N/A</v>
      </c>
      <c r="EY28" s="75" t="e">
        <f>$CI28*VLOOKUP($G28,'Рецепты а.б.'!$B$5:$AW$50,EY$67,0)</f>
        <v>#N/A</v>
      </c>
      <c r="EZ28" s="75" t="e">
        <f>$CI28*VLOOKUP($G28,'Рецепты а.б.'!$B$5:$AW$50,EZ$67,0)</f>
        <v>#N/A</v>
      </c>
      <c r="FA28" s="75" t="e">
        <f>$CI28*VLOOKUP($G28,'Рецепты а.б.'!$B$5:$AW$50,FA$67,0)</f>
        <v>#N/A</v>
      </c>
      <c r="FB28" s="75" t="e">
        <f>$CI28*VLOOKUP($G28,'Рецепты а.б.'!$B$5:$AW$50,FB$67,0)</f>
        <v>#N/A</v>
      </c>
      <c r="FC28" s="75" t="e">
        <f>$CI28*VLOOKUP($G28,'Рецепты а.б.'!$B$5:$AW$50,FC$67,0)</f>
        <v>#N/A</v>
      </c>
      <c r="FD28" s="75" t="e">
        <f>$CI28*VLOOKUP($G28,'Рецепты а.б.'!$B$5:$AW$50,FD$67,0)</f>
        <v>#N/A</v>
      </c>
      <c r="FE28" s="75" t="e">
        <f>$CJ28*VLOOKUP($G28,'Рецепты а.б.'!$B$5:$AW$50,FE$67,0)</f>
        <v>#N/A</v>
      </c>
      <c r="FF28" s="75" t="e">
        <f>$CJ28*VLOOKUP($G28,'Рецепты а.б.'!$B$5:$AW$50,FF$67,0)</f>
        <v>#N/A</v>
      </c>
      <c r="FG28" s="75" t="e">
        <f>$CE28*VLOOKUP($G28,'Рецепты а.б.'!$B$5:$AW$50,FG$67,0)</f>
        <v>#N/A</v>
      </c>
      <c r="FH28" s="75" t="e">
        <f>$CE28*VLOOKUP($G28,'Рецепты а.б.'!$B$5:$AW$50,FH$67,0)</f>
        <v>#N/A</v>
      </c>
      <c r="FI28" s="75" t="e">
        <f>$CE28*VLOOKUP($G28,'Рецепты а.б.'!$B$5:$AW$50,FI$67,0)</f>
        <v>#N/A</v>
      </c>
      <c r="FJ28" s="75" t="e">
        <f>$CE28*VLOOKUP($G28,'Рецепты а.б.'!$B$5:$AW$50,FJ$67,0)</f>
        <v>#N/A</v>
      </c>
      <c r="FK28" s="75" t="e">
        <f>$CE28*VLOOKUP($G28,'Рецепты а.б.'!$B$5:$AW$50,FK$67,0)</f>
        <v>#N/A</v>
      </c>
      <c r="FL28" s="75" t="e">
        <f>$CE28*VLOOKUP($G28,'Рецепты а.б.'!$B$5:$AW$50,FL$67,0)</f>
        <v>#N/A</v>
      </c>
      <c r="FM28" s="75" t="e">
        <f>$CE28*VLOOKUP($G28,'Рецепты а.б.'!$B$5:$AW$50,FM$67,0)</f>
        <v>#N/A</v>
      </c>
      <c r="FN28" s="75" t="e">
        <f>$CE28*VLOOKUP($G28,'Рецепты а.б.'!$B$5:$AW$50,FN$67,0)</f>
        <v>#N/A</v>
      </c>
    </row>
    <row r="29" spans="1:170" s="64" customFormat="1" hidden="1" x14ac:dyDescent="0.2">
      <c r="A29" s="127">
        <f t="shared" si="201"/>
        <v>26</v>
      </c>
      <c r="B29" s="344"/>
      <c r="C29" s="344"/>
      <c r="D29" s="344"/>
      <c r="E29" s="420" t="s">
        <v>331</v>
      </c>
      <c r="F29" s="345"/>
      <c r="G29" s="346"/>
      <c r="H29" s="419" t="s">
        <v>206</v>
      </c>
      <c r="I29" s="347"/>
      <c r="J29" s="348"/>
      <c r="K29" s="348"/>
      <c r="L29" s="348"/>
      <c r="M29" s="348"/>
      <c r="N29" s="348"/>
      <c r="O29" s="65">
        <f t="shared" si="202"/>
        <v>0</v>
      </c>
      <c r="P29" s="342">
        <f t="shared" si="5"/>
        <v>0</v>
      </c>
      <c r="Q29" s="342"/>
      <c r="R29" s="342"/>
      <c r="S29" s="342"/>
      <c r="T29" s="65">
        <f t="shared" si="203"/>
        <v>0</v>
      </c>
      <c r="U29" s="66">
        <f t="shared" si="150"/>
        <v>0</v>
      </c>
      <c r="V29" s="66">
        <f t="shared" si="151"/>
        <v>0</v>
      </c>
      <c r="W29" s="349">
        <f t="shared" si="152"/>
        <v>0</v>
      </c>
      <c r="X29" s="350"/>
      <c r="Y29" s="350"/>
      <c r="Z29" s="351"/>
      <c r="AA29" s="66">
        <f t="shared" si="153"/>
        <v>0</v>
      </c>
      <c r="AB29" s="66">
        <f t="shared" si="154"/>
        <v>0</v>
      </c>
      <c r="AC29" s="66">
        <f t="shared" si="155"/>
        <v>0</v>
      </c>
      <c r="AD29" s="66">
        <f t="shared" si="156"/>
        <v>0</v>
      </c>
      <c r="AE29" s="66">
        <f t="shared" si="14"/>
        <v>0</v>
      </c>
      <c r="AF29" s="66">
        <f t="shared" si="15"/>
        <v>0</v>
      </c>
      <c r="AG29" s="66">
        <f t="shared" si="16"/>
        <v>0</v>
      </c>
      <c r="AH29" s="66">
        <f t="shared" si="17"/>
        <v>0</v>
      </c>
      <c r="AI29" s="66">
        <f t="shared" si="18"/>
        <v>0</v>
      </c>
      <c r="AJ29" s="66">
        <f t="shared" ref="AJ29" si="205">SUM(AF29:AI29)</f>
        <v>0</v>
      </c>
      <c r="AK29" s="67">
        <f t="shared" si="158"/>
        <v>0</v>
      </c>
      <c r="AL29" s="67">
        <f t="shared" si="159"/>
        <v>0</v>
      </c>
      <c r="AM29" s="67">
        <f t="shared" si="160"/>
        <v>0</v>
      </c>
      <c r="AN29" s="67">
        <f t="shared" si="23"/>
        <v>0</v>
      </c>
      <c r="AO29" s="66">
        <f t="shared" si="204"/>
        <v>0</v>
      </c>
      <c r="AP29" s="66">
        <f t="shared" si="162"/>
        <v>0</v>
      </c>
      <c r="AQ29" s="66">
        <f t="shared" si="163"/>
        <v>0</v>
      </c>
      <c r="AR29" s="66">
        <f t="shared" si="164"/>
        <v>0</v>
      </c>
      <c r="AS29" s="66">
        <f t="shared" si="165"/>
        <v>0</v>
      </c>
      <c r="AT29" s="66">
        <f t="shared" si="166"/>
        <v>0</v>
      </c>
      <c r="AU29" s="66">
        <f t="shared" si="167"/>
        <v>0</v>
      </c>
      <c r="AV29" s="66">
        <f t="shared" si="168"/>
        <v>0</v>
      </c>
      <c r="AW29" s="66">
        <f t="shared" si="169"/>
        <v>0</v>
      </c>
      <c r="AX29" s="66">
        <f t="shared" si="170"/>
        <v>0</v>
      </c>
      <c r="AY29" s="66">
        <f t="shared" si="171"/>
        <v>0</v>
      </c>
      <c r="AZ29" s="66">
        <f t="shared" si="172"/>
        <v>0</v>
      </c>
      <c r="BA29" s="66">
        <f t="shared" si="173"/>
        <v>0</v>
      </c>
      <c r="BB29" s="66">
        <f t="shared" si="174"/>
        <v>0</v>
      </c>
      <c r="BC29" s="66">
        <f t="shared" si="175"/>
        <v>0</v>
      </c>
      <c r="BD29" s="66">
        <f t="shared" si="176"/>
        <v>0</v>
      </c>
      <c r="BE29" s="66">
        <f t="shared" si="177"/>
        <v>0</v>
      </c>
      <c r="BF29" s="66">
        <f t="shared" si="178"/>
        <v>0</v>
      </c>
      <c r="BG29" s="66">
        <f t="shared" si="179"/>
        <v>0</v>
      </c>
      <c r="BH29" s="66">
        <f t="shared" si="180"/>
        <v>0</v>
      </c>
      <c r="BI29" s="66">
        <f t="shared" si="181"/>
        <v>0</v>
      </c>
      <c r="BJ29" s="68">
        <f t="shared" si="182"/>
        <v>0</v>
      </c>
      <c r="BK29" s="352">
        <v>1</v>
      </c>
      <c r="BL29" s="352">
        <v>12</v>
      </c>
      <c r="BM29" s="263">
        <v>1</v>
      </c>
      <c r="BN29" s="263">
        <v>12</v>
      </c>
      <c r="BO29" s="69">
        <f t="shared" si="183"/>
        <v>42186</v>
      </c>
      <c r="BP29" s="69">
        <f t="shared" si="184"/>
        <v>42552</v>
      </c>
      <c r="BQ29" s="70">
        <f t="shared" si="46"/>
        <v>6.54E-2</v>
      </c>
      <c r="BR29" s="285">
        <f t="shared" si="47"/>
        <v>0.1391</v>
      </c>
      <c r="BS29" s="68">
        <f t="shared" si="185"/>
        <v>0</v>
      </c>
      <c r="BT29" s="68">
        <f t="shared" si="186"/>
        <v>0</v>
      </c>
      <c r="BU29" s="353"/>
      <c r="BV29" s="71" t="e">
        <f t="shared" si="187"/>
        <v>#DIV/0!</v>
      </c>
      <c r="BW29" s="72"/>
      <c r="BX29" s="73" t="e">
        <f t="shared" si="51"/>
        <v>#DIV/0!</v>
      </c>
      <c r="BY29" s="73" t="e">
        <f t="shared" si="52"/>
        <v>#DIV/0!</v>
      </c>
      <c r="BZ29" s="73" t="e">
        <f t="shared" si="53"/>
        <v>#DIV/0!</v>
      </c>
      <c r="CA29" s="73" t="e">
        <f t="shared" si="54"/>
        <v>#DIV/0!</v>
      </c>
      <c r="CB29" s="73" t="e">
        <f t="shared" si="55"/>
        <v>#DIV/0!</v>
      </c>
      <c r="CD29" s="354"/>
      <c r="CE29" s="354"/>
      <c r="CF29" s="354"/>
      <c r="CG29" s="354"/>
      <c r="CH29" s="354"/>
      <c r="CI29" s="354"/>
      <c r="CJ29" s="354"/>
      <c r="CK29" s="354"/>
      <c r="CL29" s="354"/>
      <c r="CM29" s="354"/>
      <c r="CN29" s="354"/>
      <c r="CO29" s="354"/>
      <c r="CP29" s="354"/>
      <c r="CQ29" s="354"/>
      <c r="CR29" s="354"/>
      <c r="CS29" s="354"/>
      <c r="CT29" s="354"/>
      <c r="CU29" s="354"/>
      <c r="CV29" s="354"/>
      <c r="CW29" s="354"/>
      <c r="CX29" s="354"/>
      <c r="CY29" s="354"/>
      <c r="CZ29" s="354"/>
      <c r="DA29" s="354"/>
      <c r="DB29" s="354"/>
      <c r="DC29" s="354"/>
      <c r="DD29" s="95"/>
      <c r="DE29" s="45"/>
      <c r="DF29" s="76"/>
      <c r="DG29" s="77">
        <f t="shared" si="188"/>
        <v>0</v>
      </c>
      <c r="DH29" s="68">
        <f t="shared" si="189"/>
        <v>0</v>
      </c>
      <c r="DI29" s="78"/>
      <c r="DJ29" s="189"/>
      <c r="DL29" s="146">
        <f t="shared" si="58"/>
        <v>0</v>
      </c>
      <c r="DM29" s="146">
        <f t="shared" si="190"/>
        <v>0</v>
      </c>
      <c r="DN29" s="146">
        <f t="shared" si="60"/>
        <v>0</v>
      </c>
      <c r="DO29" s="146">
        <f t="shared" si="61"/>
        <v>0</v>
      </c>
      <c r="DP29" s="146">
        <f t="shared" si="62"/>
        <v>0</v>
      </c>
      <c r="DQ29" s="146">
        <f t="shared" si="63"/>
        <v>0</v>
      </c>
      <c r="DR29" s="146">
        <f t="shared" si="64"/>
        <v>0</v>
      </c>
      <c r="DS29" s="146">
        <f t="shared" si="65"/>
        <v>0</v>
      </c>
      <c r="DT29" s="146">
        <f t="shared" si="66"/>
        <v>0</v>
      </c>
      <c r="DU29" s="146">
        <f t="shared" si="67"/>
        <v>0</v>
      </c>
      <c r="DV29" s="146">
        <f t="shared" si="68"/>
        <v>0</v>
      </c>
      <c r="DW29" s="181">
        <f t="shared" si="69"/>
        <v>0</v>
      </c>
      <c r="DY29" s="183" t="e">
        <f>$CD29*VLOOKUP($G29,'Рецепты а.б.'!$B$5:$AW$50,DY$67,0)</f>
        <v>#N/A</v>
      </c>
      <c r="DZ29" s="75" t="e">
        <f>$CD29*VLOOKUP($G29,'Рецепты а.б.'!$B$5:$AW$50,DZ$67,0)</f>
        <v>#N/A</v>
      </c>
      <c r="EA29" s="75" t="e">
        <f>$CD29*VLOOKUP($G29,'Рецепты а.б.'!$B$5:$AW$50,EA$67,0)</f>
        <v>#N/A</v>
      </c>
      <c r="EB29" s="75" t="e">
        <f>$CD29*VLOOKUP($G29,'Рецепты а.б.'!$B$5:$AW$50,EB$67,0)</f>
        <v>#N/A</v>
      </c>
      <c r="EC29" s="75" t="e">
        <f>$CD29*VLOOKUP($G29,'Рецепты а.б.'!$B$5:$AW$50,EC$67,0)</f>
        <v>#N/A</v>
      </c>
      <c r="ED29" s="75" t="e">
        <f>$CD29*VLOOKUP($G29,'Рецепты а.б.'!$B$5:$AW$50,ED$67,0)</f>
        <v>#N/A</v>
      </c>
      <c r="EE29" s="75" t="e">
        <f>$CD29*VLOOKUP($G29,'Рецепты а.б.'!$B$5:$AW$50,EE$67,0)</f>
        <v>#N/A</v>
      </c>
      <c r="EF29" s="75" t="e">
        <f>$CF29*VLOOKUP($G29,'Рецепты а.б.'!$B$5:$AW$50,EF$67,0)</f>
        <v>#N/A</v>
      </c>
      <c r="EG29" s="75" t="e">
        <f>$CF29*VLOOKUP($G29,'Рецепты а.б.'!$B$5:$AW$50,EG$67,0)</f>
        <v>#N/A</v>
      </c>
      <c r="EH29" s="75" t="e">
        <f>$CF29*VLOOKUP($G29,'Рецепты а.б.'!$B$5:$AW$50,EH$67,0)</f>
        <v>#N/A</v>
      </c>
      <c r="EI29" s="75" t="e">
        <f>$CF29*VLOOKUP($G29,'Рецепты а.б.'!$B$5:$AW$50,EI$67,0)</f>
        <v>#N/A</v>
      </c>
      <c r="EJ29" s="75" t="e">
        <f>$CF29*VLOOKUP($G29,'Рецепты а.б.'!$B$5:$AW$50,EJ$67,0)</f>
        <v>#N/A</v>
      </c>
      <c r="EK29" s="75" t="e">
        <f>$CF29*VLOOKUP($G29,'Рецепты а.б.'!$B$5:$AW$50,EK$67,0)</f>
        <v>#N/A</v>
      </c>
      <c r="EL29" s="75" t="e">
        <f>$CF29*VLOOKUP($G29,'Рецепты а.б.'!$B$5:$AW$50,EL$67,0)</f>
        <v>#N/A</v>
      </c>
      <c r="EM29" s="75" t="e">
        <f>$CG29*VLOOKUP($G29,'Рецепты а.б.'!$B$5:$AW$50,EM$67,0)</f>
        <v>#N/A</v>
      </c>
      <c r="EN29" s="75" t="e">
        <f>$CG29*VLOOKUP($G29,'Рецепты а.б.'!$B$5:$AW$50,EN$67,0)</f>
        <v>#N/A</v>
      </c>
      <c r="EO29" s="75" t="e">
        <f>$CG29*VLOOKUP($G29,'Рецепты а.б.'!$B$5:$AW$50,EO$67,0)</f>
        <v>#N/A</v>
      </c>
      <c r="EP29" s="75" t="e">
        <f>$CG29*VLOOKUP($G29,'Рецепты а.б.'!$B$5:$AW$50,EP$67,0)</f>
        <v>#N/A</v>
      </c>
      <c r="EQ29" s="75" t="e">
        <f>$CG29*VLOOKUP($G29,'Рецепты а.б.'!$B$5:$AW$50,EQ$67,0)</f>
        <v>#N/A</v>
      </c>
      <c r="ER29" s="75" t="e">
        <f>$CG29*VLOOKUP($G29,'Рецепты а.б.'!$B$5:$AW$50,ER$67,0)</f>
        <v>#N/A</v>
      </c>
      <c r="ES29" s="75" t="e">
        <f>$CG29*VLOOKUP($G29,'Рецепты а.б.'!$B$5:$AW$50,ES$67,0)</f>
        <v>#N/A</v>
      </c>
      <c r="ET29" s="75" t="e">
        <f>$CH29*VLOOKUP($G29,'Рецепты а.б.'!$B$5:$AW$50,ET$67,0)</f>
        <v>#N/A</v>
      </c>
      <c r="EU29" s="75" t="e">
        <f>$CH29*VLOOKUP($G29,'Рецепты а.б.'!$B$5:$AW$50,EU$67,0)</f>
        <v>#N/A</v>
      </c>
      <c r="EV29" s="75" t="e">
        <f>$CH29*VLOOKUP($G29,'Рецепты а.б.'!$B$5:$AW$50,EV$67,0)</f>
        <v>#N/A</v>
      </c>
      <c r="EW29" s="75" t="e">
        <f>$CH29*VLOOKUP($G29,'Рецепты а.б.'!$B$5:$AW$50,EW$67,0)</f>
        <v>#N/A</v>
      </c>
      <c r="EX29" s="75" t="e">
        <f>$CH29*VLOOKUP($G29,'Рецепты а.б.'!$B$5:$AW$50,EX$67,0)</f>
        <v>#N/A</v>
      </c>
      <c r="EY29" s="75" t="e">
        <f>$CI29*VLOOKUP($G29,'Рецепты а.б.'!$B$5:$AW$50,EY$67,0)</f>
        <v>#N/A</v>
      </c>
      <c r="EZ29" s="75" t="e">
        <f>$CI29*VLOOKUP($G29,'Рецепты а.б.'!$B$5:$AW$50,EZ$67,0)</f>
        <v>#N/A</v>
      </c>
      <c r="FA29" s="75" t="e">
        <f>$CI29*VLOOKUP($G29,'Рецепты а.б.'!$B$5:$AW$50,FA$67,0)</f>
        <v>#N/A</v>
      </c>
      <c r="FB29" s="75" t="e">
        <f>$CI29*VLOOKUP($G29,'Рецепты а.б.'!$B$5:$AW$50,FB$67,0)</f>
        <v>#N/A</v>
      </c>
      <c r="FC29" s="75" t="e">
        <f>$CI29*VLOOKUP($G29,'Рецепты а.б.'!$B$5:$AW$50,FC$67,0)</f>
        <v>#N/A</v>
      </c>
      <c r="FD29" s="75" t="e">
        <f>$CI29*VLOOKUP($G29,'Рецепты а.б.'!$B$5:$AW$50,FD$67,0)</f>
        <v>#N/A</v>
      </c>
      <c r="FE29" s="75" t="e">
        <f>$CJ29*VLOOKUP($G29,'Рецепты а.б.'!$B$5:$AW$50,FE$67,0)</f>
        <v>#N/A</v>
      </c>
      <c r="FF29" s="75" t="e">
        <f>$CJ29*VLOOKUP($G29,'Рецепты а.б.'!$B$5:$AW$50,FF$67,0)</f>
        <v>#N/A</v>
      </c>
      <c r="FG29" s="75" t="e">
        <f>$CE29*VLOOKUP($G29,'Рецепты а.б.'!$B$5:$AW$50,FG$67,0)</f>
        <v>#N/A</v>
      </c>
      <c r="FH29" s="75" t="e">
        <f>$CE29*VLOOKUP($G29,'Рецепты а.б.'!$B$5:$AW$50,FH$67,0)</f>
        <v>#N/A</v>
      </c>
      <c r="FI29" s="75" t="e">
        <f>$CE29*VLOOKUP($G29,'Рецепты а.б.'!$B$5:$AW$50,FI$67,0)</f>
        <v>#N/A</v>
      </c>
      <c r="FJ29" s="75" t="e">
        <f>$CE29*VLOOKUP($G29,'Рецепты а.б.'!$B$5:$AW$50,FJ$67,0)</f>
        <v>#N/A</v>
      </c>
      <c r="FK29" s="75" t="e">
        <f>$CE29*VLOOKUP($G29,'Рецепты а.б.'!$B$5:$AW$50,FK$67,0)</f>
        <v>#N/A</v>
      </c>
      <c r="FL29" s="75" t="e">
        <f>$CE29*VLOOKUP($G29,'Рецепты а.б.'!$B$5:$AW$50,FL$67,0)</f>
        <v>#N/A</v>
      </c>
      <c r="FM29" s="75" t="e">
        <f>$CE29*VLOOKUP($G29,'Рецепты а.б.'!$B$5:$AW$50,FM$67,0)</f>
        <v>#N/A</v>
      </c>
      <c r="FN29" s="75" t="e">
        <f>$CE29*VLOOKUP($G29,'Рецепты а.б.'!$B$5:$AW$50,FN$67,0)</f>
        <v>#N/A</v>
      </c>
    </row>
    <row r="30" spans="1:170" s="64" customFormat="1" hidden="1" x14ac:dyDescent="0.2">
      <c r="A30" s="127">
        <f t="shared" si="201"/>
        <v>27</v>
      </c>
      <c r="B30" s="344"/>
      <c r="C30" s="344"/>
      <c r="D30" s="344"/>
      <c r="E30" s="420" t="s">
        <v>331</v>
      </c>
      <c r="F30" s="345"/>
      <c r="G30" s="346"/>
      <c r="H30" s="419" t="s">
        <v>206</v>
      </c>
      <c r="I30" s="347"/>
      <c r="J30" s="348"/>
      <c r="K30" s="348"/>
      <c r="L30" s="348"/>
      <c r="M30" s="348"/>
      <c r="N30" s="348"/>
      <c r="O30" s="65">
        <f t="shared" si="106"/>
        <v>0</v>
      </c>
      <c r="P30" s="342">
        <f t="shared" si="5"/>
        <v>0</v>
      </c>
      <c r="Q30" s="342"/>
      <c r="R30" s="342"/>
      <c r="S30" s="342"/>
      <c r="T30" s="65">
        <f t="shared" si="107"/>
        <v>0</v>
      </c>
      <c r="U30" s="66">
        <f t="shared" si="108"/>
        <v>0</v>
      </c>
      <c r="V30" s="66">
        <f t="shared" si="109"/>
        <v>0</v>
      </c>
      <c r="W30" s="349">
        <f t="shared" si="74"/>
        <v>0</v>
      </c>
      <c r="X30" s="350"/>
      <c r="Y30" s="350"/>
      <c r="Z30" s="351"/>
      <c r="AA30" s="66">
        <f t="shared" si="110"/>
        <v>0</v>
      </c>
      <c r="AB30" s="66">
        <f t="shared" si="111"/>
        <v>0</v>
      </c>
      <c r="AC30" s="66">
        <f t="shared" si="112"/>
        <v>0</v>
      </c>
      <c r="AD30" s="66">
        <f t="shared" si="113"/>
        <v>0</v>
      </c>
      <c r="AE30" s="66">
        <f t="shared" si="14"/>
        <v>0</v>
      </c>
      <c r="AF30" s="66">
        <f t="shared" si="15"/>
        <v>0</v>
      </c>
      <c r="AG30" s="66">
        <f t="shared" si="16"/>
        <v>0</v>
      </c>
      <c r="AH30" s="66">
        <f t="shared" si="17"/>
        <v>0</v>
      </c>
      <c r="AI30" s="66">
        <f t="shared" si="18"/>
        <v>0</v>
      </c>
      <c r="AJ30" s="66">
        <f t="shared" si="114"/>
        <v>0</v>
      </c>
      <c r="AK30" s="67">
        <f t="shared" si="115"/>
        <v>0</v>
      </c>
      <c r="AL30" s="67">
        <f t="shared" si="116"/>
        <v>0</v>
      </c>
      <c r="AM30" s="67">
        <f t="shared" si="117"/>
        <v>0</v>
      </c>
      <c r="AN30" s="67">
        <f t="shared" si="23"/>
        <v>0</v>
      </c>
      <c r="AO30" s="66">
        <f t="shared" si="118"/>
        <v>0</v>
      </c>
      <c r="AP30" s="66">
        <f t="shared" si="119"/>
        <v>0</v>
      </c>
      <c r="AQ30" s="66">
        <f t="shared" si="120"/>
        <v>0</v>
      </c>
      <c r="AR30" s="66">
        <f t="shared" si="121"/>
        <v>0</v>
      </c>
      <c r="AS30" s="66">
        <f t="shared" si="122"/>
        <v>0</v>
      </c>
      <c r="AT30" s="66">
        <f t="shared" si="123"/>
        <v>0</v>
      </c>
      <c r="AU30" s="66">
        <f t="shared" si="124"/>
        <v>0</v>
      </c>
      <c r="AV30" s="66">
        <f t="shared" si="125"/>
        <v>0</v>
      </c>
      <c r="AW30" s="66">
        <f t="shared" si="126"/>
        <v>0</v>
      </c>
      <c r="AX30" s="66">
        <f t="shared" si="127"/>
        <v>0</v>
      </c>
      <c r="AY30" s="66">
        <f t="shared" si="128"/>
        <v>0</v>
      </c>
      <c r="AZ30" s="66">
        <f t="shared" si="129"/>
        <v>0</v>
      </c>
      <c r="BA30" s="66">
        <f t="shared" si="130"/>
        <v>0</v>
      </c>
      <c r="BB30" s="66">
        <f t="shared" si="131"/>
        <v>0</v>
      </c>
      <c r="BC30" s="66">
        <f t="shared" si="132"/>
        <v>0</v>
      </c>
      <c r="BD30" s="66">
        <f t="shared" si="133"/>
        <v>0</v>
      </c>
      <c r="BE30" s="66">
        <f t="shared" si="134"/>
        <v>0</v>
      </c>
      <c r="BF30" s="66">
        <f t="shared" si="135"/>
        <v>0</v>
      </c>
      <c r="BG30" s="66">
        <f t="shared" si="136"/>
        <v>0</v>
      </c>
      <c r="BH30" s="66">
        <f t="shared" si="137"/>
        <v>0</v>
      </c>
      <c r="BI30" s="66">
        <f t="shared" si="138"/>
        <v>0</v>
      </c>
      <c r="BJ30" s="68">
        <f t="shared" si="139"/>
        <v>0</v>
      </c>
      <c r="BK30" s="352">
        <v>1</v>
      </c>
      <c r="BL30" s="352">
        <v>12</v>
      </c>
      <c r="BM30" s="263">
        <v>1</v>
      </c>
      <c r="BN30" s="263">
        <v>12</v>
      </c>
      <c r="BO30" s="69">
        <f t="shared" si="140"/>
        <v>42186</v>
      </c>
      <c r="BP30" s="69">
        <f t="shared" si="141"/>
        <v>42552</v>
      </c>
      <c r="BQ30" s="70">
        <f t="shared" si="46"/>
        <v>6.54E-2</v>
      </c>
      <c r="BR30" s="285">
        <f t="shared" si="47"/>
        <v>0.1391</v>
      </c>
      <c r="BS30" s="68">
        <f t="shared" si="142"/>
        <v>0</v>
      </c>
      <c r="BT30" s="68">
        <f t="shared" si="143"/>
        <v>0</v>
      </c>
      <c r="BU30" s="353"/>
      <c r="BV30" s="71" t="e">
        <f t="shared" si="144"/>
        <v>#DIV/0!</v>
      </c>
      <c r="BW30" s="72"/>
      <c r="BX30" s="73" t="e">
        <f t="shared" si="51"/>
        <v>#DIV/0!</v>
      </c>
      <c r="BY30" s="73" t="e">
        <f t="shared" si="52"/>
        <v>#DIV/0!</v>
      </c>
      <c r="BZ30" s="73" t="e">
        <f t="shared" si="53"/>
        <v>#DIV/0!</v>
      </c>
      <c r="CA30" s="73" t="e">
        <f t="shared" si="54"/>
        <v>#DIV/0!</v>
      </c>
      <c r="CB30" s="73" t="e">
        <f t="shared" si="55"/>
        <v>#DIV/0!</v>
      </c>
      <c r="CD30" s="354"/>
      <c r="CE30" s="354"/>
      <c r="CF30" s="354"/>
      <c r="CG30" s="354"/>
      <c r="CH30" s="354"/>
      <c r="CI30" s="354"/>
      <c r="CJ30" s="354"/>
      <c r="CK30" s="354"/>
      <c r="CL30" s="354"/>
      <c r="CM30" s="354"/>
      <c r="CN30" s="354"/>
      <c r="CO30" s="354"/>
      <c r="CP30" s="354"/>
      <c r="CQ30" s="354"/>
      <c r="CR30" s="354"/>
      <c r="CS30" s="354"/>
      <c r="CT30" s="354"/>
      <c r="CU30" s="354"/>
      <c r="CV30" s="354"/>
      <c r="CW30" s="354"/>
      <c r="CX30" s="354"/>
      <c r="CY30" s="354"/>
      <c r="CZ30" s="354"/>
      <c r="DA30" s="354"/>
      <c r="DB30" s="354"/>
      <c r="DC30" s="354"/>
      <c r="DD30" s="95"/>
      <c r="DE30" s="45"/>
      <c r="DF30" s="76"/>
      <c r="DG30" s="77">
        <f t="shared" si="145"/>
        <v>0</v>
      </c>
      <c r="DH30" s="68">
        <f t="shared" si="146"/>
        <v>0</v>
      </c>
      <c r="DI30" s="78"/>
      <c r="DJ30" s="189"/>
      <c r="DL30" s="146">
        <f t="shared" si="58"/>
        <v>0</v>
      </c>
      <c r="DM30" s="146">
        <f t="shared" si="147"/>
        <v>0</v>
      </c>
      <c r="DN30" s="146">
        <f t="shared" si="60"/>
        <v>0</v>
      </c>
      <c r="DO30" s="146">
        <f t="shared" si="61"/>
        <v>0</v>
      </c>
      <c r="DP30" s="146">
        <f t="shared" si="62"/>
        <v>0</v>
      </c>
      <c r="DQ30" s="146">
        <f t="shared" si="63"/>
        <v>0</v>
      </c>
      <c r="DR30" s="146">
        <f t="shared" si="64"/>
        <v>0</v>
      </c>
      <c r="DS30" s="146">
        <f t="shared" si="65"/>
        <v>0</v>
      </c>
      <c r="DT30" s="146">
        <f t="shared" si="66"/>
        <v>0</v>
      </c>
      <c r="DU30" s="146">
        <f t="shared" si="67"/>
        <v>0</v>
      </c>
      <c r="DV30" s="146">
        <f t="shared" si="68"/>
        <v>0</v>
      </c>
      <c r="DW30" s="181">
        <f t="shared" si="69"/>
        <v>0</v>
      </c>
      <c r="DY30" s="183" t="e">
        <f>$CD30*VLOOKUP($G30,'Рецепты а.б.'!$B$5:$AW$50,DY$67,0)</f>
        <v>#N/A</v>
      </c>
      <c r="DZ30" s="75" t="e">
        <f>$CD30*VLOOKUP($G30,'Рецепты а.б.'!$B$5:$AW$50,DZ$67,0)</f>
        <v>#N/A</v>
      </c>
      <c r="EA30" s="75" t="e">
        <f>$CD30*VLOOKUP($G30,'Рецепты а.б.'!$B$5:$AW$50,EA$67,0)</f>
        <v>#N/A</v>
      </c>
      <c r="EB30" s="75" t="e">
        <f>$CD30*VLOOKUP($G30,'Рецепты а.б.'!$B$5:$AW$50,EB$67,0)</f>
        <v>#N/A</v>
      </c>
      <c r="EC30" s="75" t="e">
        <f>$CD30*VLOOKUP($G30,'Рецепты а.б.'!$B$5:$AW$50,EC$67,0)</f>
        <v>#N/A</v>
      </c>
      <c r="ED30" s="75" t="e">
        <f>$CD30*VLOOKUP($G30,'Рецепты а.б.'!$B$5:$AW$50,ED$67,0)</f>
        <v>#N/A</v>
      </c>
      <c r="EE30" s="75" t="e">
        <f>$CD30*VLOOKUP($G30,'Рецепты а.б.'!$B$5:$AW$50,EE$67,0)</f>
        <v>#N/A</v>
      </c>
      <c r="EF30" s="75" t="e">
        <f>$CF30*VLOOKUP($G30,'Рецепты а.б.'!$B$5:$AW$50,EF$67,0)</f>
        <v>#N/A</v>
      </c>
      <c r="EG30" s="75" t="e">
        <f>$CF30*VLOOKUP($G30,'Рецепты а.б.'!$B$5:$AW$50,EG$67,0)</f>
        <v>#N/A</v>
      </c>
      <c r="EH30" s="75" t="e">
        <f>$CF30*VLOOKUP($G30,'Рецепты а.б.'!$B$5:$AW$50,EH$67,0)</f>
        <v>#N/A</v>
      </c>
      <c r="EI30" s="75" t="e">
        <f>$CF30*VLOOKUP($G30,'Рецепты а.б.'!$B$5:$AW$50,EI$67,0)</f>
        <v>#N/A</v>
      </c>
      <c r="EJ30" s="75" t="e">
        <f>$CF30*VLOOKUP($G30,'Рецепты а.б.'!$B$5:$AW$50,EJ$67,0)</f>
        <v>#N/A</v>
      </c>
      <c r="EK30" s="75" t="e">
        <f>$CF30*VLOOKUP($G30,'Рецепты а.б.'!$B$5:$AW$50,EK$67,0)</f>
        <v>#N/A</v>
      </c>
      <c r="EL30" s="75" t="e">
        <f>$CF30*VLOOKUP($G30,'Рецепты а.б.'!$B$5:$AW$50,EL$67,0)</f>
        <v>#N/A</v>
      </c>
      <c r="EM30" s="75" t="e">
        <f>$CG30*VLOOKUP($G30,'Рецепты а.б.'!$B$5:$AW$50,EM$67,0)</f>
        <v>#N/A</v>
      </c>
      <c r="EN30" s="75" t="e">
        <f>$CG30*VLOOKUP($G30,'Рецепты а.б.'!$B$5:$AW$50,EN$67,0)</f>
        <v>#N/A</v>
      </c>
      <c r="EO30" s="75" t="e">
        <f>$CG30*VLOOKUP($G30,'Рецепты а.б.'!$B$5:$AW$50,EO$67,0)</f>
        <v>#N/A</v>
      </c>
      <c r="EP30" s="75" t="e">
        <f>$CG30*VLOOKUP($G30,'Рецепты а.б.'!$B$5:$AW$50,EP$67,0)</f>
        <v>#N/A</v>
      </c>
      <c r="EQ30" s="75" t="e">
        <f>$CG30*VLOOKUP($G30,'Рецепты а.б.'!$B$5:$AW$50,EQ$67,0)</f>
        <v>#N/A</v>
      </c>
      <c r="ER30" s="75" t="e">
        <f>$CG30*VLOOKUP($G30,'Рецепты а.б.'!$B$5:$AW$50,ER$67,0)</f>
        <v>#N/A</v>
      </c>
      <c r="ES30" s="75" t="e">
        <f>$CG30*VLOOKUP($G30,'Рецепты а.б.'!$B$5:$AW$50,ES$67,0)</f>
        <v>#N/A</v>
      </c>
      <c r="ET30" s="75" t="e">
        <f>$CH30*VLOOKUP($G30,'Рецепты а.б.'!$B$5:$AW$50,ET$67,0)</f>
        <v>#N/A</v>
      </c>
      <c r="EU30" s="75" t="e">
        <f>$CH30*VLOOKUP($G30,'Рецепты а.б.'!$B$5:$AW$50,EU$67,0)</f>
        <v>#N/A</v>
      </c>
      <c r="EV30" s="75" t="e">
        <f>$CH30*VLOOKUP($G30,'Рецепты а.б.'!$B$5:$AW$50,EV$67,0)</f>
        <v>#N/A</v>
      </c>
      <c r="EW30" s="75" t="e">
        <f>$CH30*VLOOKUP($G30,'Рецепты а.б.'!$B$5:$AW$50,EW$67,0)</f>
        <v>#N/A</v>
      </c>
      <c r="EX30" s="75" t="e">
        <f>$CH30*VLOOKUP($G30,'Рецепты а.б.'!$B$5:$AW$50,EX$67,0)</f>
        <v>#N/A</v>
      </c>
      <c r="EY30" s="75" t="e">
        <f>$CI30*VLOOKUP($G30,'Рецепты а.б.'!$B$5:$AW$50,EY$67,0)</f>
        <v>#N/A</v>
      </c>
      <c r="EZ30" s="75" t="e">
        <f>$CI30*VLOOKUP($G30,'Рецепты а.б.'!$B$5:$AW$50,EZ$67,0)</f>
        <v>#N/A</v>
      </c>
      <c r="FA30" s="75" t="e">
        <f>$CI30*VLOOKUP($G30,'Рецепты а.б.'!$B$5:$AW$50,FA$67,0)</f>
        <v>#N/A</v>
      </c>
      <c r="FB30" s="75" t="e">
        <f>$CI30*VLOOKUP($G30,'Рецепты а.б.'!$B$5:$AW$50,FB$67,0)</f>
        <v>#N/A</v>
      </c>
      <c r="FC30" s="75" t="e">
        <f>$CI30*VLOOKUP($G30,'Рецепты а.б.'!$B$5:$AW$50,FC$67,0)</f>
        <v>#N/A</v>
      </c>
      <c r="FD30" s="75" t="e">
        <f>$CI30*VLOOKUP($G30,'Рецепты а.б.'!$B$5:$AW$50,FD$67,0)</f>
        <v>#N/A</v>
      </c>
      <c r="FE30" s="75" t="e">
        <f>$CJ30*VLOOKUP($G30,'Рецепты а.б.'!$B$5:$AW$50,FE$67,0)</f>
        <v>#N/A</v>
      </c>
      <c r="FF30" s="75" t="e">
        <f>$CJ30*VLOOKUP($G30,'Рецепты а.б.'!$B$5:$AW$50,FF$67,0)</f>
        <v>#N/A</v>
      </c>
      <c r="FG30" s="75" t="e">
        <f>$CE30*VLOOKUP($G30,'Рецепты а.б.'!$B$5:$AW$50,FG$67,0)</f>
        <v>#N/A</v>
      </c>
      <c r="FH30" s="75" t="e">
        <f>$CE30*VLOOKUP($G30,'Рецепты а.б.'!$B$5:$AW$50,FH$67,0)</f>
        <v>#N/A</v>
      </c>
      <c r="FI30" s="75" t="e">
        <f>$CE30*VLOOKUP($G30,'Рецепты а.б.'!$B$5:$AW$50,FI$67,0)</f>
        <v>#N/A</v>
      </c>
      <c r="FJ30" s="75" t="e">
        <f>$CE30*VLOOKUP($G30,'Рецепты а.б.'!$B$5:$AW$50,FJ$67,0)</f>
        <v>#N/A</v>
      </c>
      <c r="FK30" s="75" t="e">
        <f>$CE30*VLOOKUP($G30,'Рецепты а.б.'!$B$5:$AW$50,FK$67,0)</f>
        <v>#N/A</v>
      </c>
      <c r="FL30" s="75" t="e">
        <f>$CE30*VLOOKUP($G30,'Рецепты а.б.'!$B$5:$AW$50,FL$67,0)</f>
        <v>#N/A</v>
      </c>
      <c r="FM30" s="75" t="e">
        <f>$CE30*VLOOKUP($G30,'Рецепты а.б.'!$B$5:$AW$50,FM$67,0)</f>
        <v>#N/A</v>
      </c>
      <c r="FN30" s="75" t="e">
        <f>$CE30*VLOOKUP($G30,'Рецепты а.б.'!$B$5:$AW$50,FN$67,0)</f>
        <v>#N/A</v>
      </c>
    </row>
    <row r="31" spans="1:170" s="64" customFormat="1" hidden="1" x14ac:dyDescent="0.2">
      <c r="A31" s="127">
        <f t="shared" si="201"/>
        <v>28</v>
      </c>
      <c r="B31" s="344"/>
      <c r="C31" s="344"/>
      <c r="D31" s="344"/>
      <c r="E31" s="420" t="s">
        <v>331</v>
      </c>
      <c r="F31" s="345"/>
      <c r="G31" s="346"/>
      <c r="H31" s="419" t="s">
        <v>206</v>
      </c>
      <c r="I31" s="347"/>
      <c r="J31" s="348"/>
      <c r="K31" s="348"/>
      <c r="L31" s="348"/>
      <c r="M31" s="348"/>
      <c r="N31" s="348"/>
      <c r="O31" s="65">
        <f t="shared" ref="O31:O38" si="206">SUM(J31:N31)</f>
        <v>0</v>
      </c>
      <c r="P31" s="342">
        <f t="shared" si="5"/>
        <v>0</v>
      </c>
      <c r="Q31" s="342"/>
      <c r="R31" s="342"/>
      <c r="S31" s="342"/>
      <c r="T31" s="65">
        <f t="shared" ref="T31:T38" si="207">SUM(P31:S31)</f>
        <v>0</v>
      </c>
      <c r="U31" s="66">
        <f t="shared" si="108"/>
        <v>0</v>
      </c>
      <c r="V31" s="66">
        <f t="shared" si="109"/>
        <v>0</v>
      </c>
      <c r="W31" s="349">
        <f t="shared" si="74"/>
        <v>0</v>
      </c>
      <c r="X31" s="350"/>
      <c r="Y31" s="350"/>
      <c r="Z31" s="351"/>
      <c r="AA31" s="66">
        <f t="shared" si="110"/>
        <v>0</v>
      </c>
      <c r="AB31" s="66">
        <f t="shared" si="111"/>
        <v>0</v>
      </c>
      <c r="AC31" s="66">
        <f t="shared" si="112"/>
        <v>0</v>
      </c>
      <c r="AD31" s="66">
        <f t="shared" si="113"/>
        <v>0</v>
      </c>
      <c r="AE31" s="66">
        <f t="shared" si="14"/>
        <v>0</v>
      </c>
      <c r="AF31" s="66">
        <f t="shared" si="15"/>
        <v>0</v>
      </c>
      <c r="AG31" s="66">
        <f t="shared" si="16"/>
        <v>0</v>
      </c>
      <c r="AH31" s="66">
        <f t="shared" si="17"/>
        <v>0</v>
      </c>
      <c r="AI31" s="66">
        <f t="shared" si="18"/>
        <v>0</v>
      </c>
      <c r="AJ31" s="66">
        <f t="shared" si="114"/>
        <v>0</v>
      </c>
      <c r="AK31" s="67">
        <f t="shared" si="115"/>
        <v>0</v>
      </c>
      <c r="AL31" s="67">
        <f t="shared" si="116"/>
        <v>0</v>
      </c>
      <c r="AM31" s="67">
        <f t="shared" si="117"/>
        <v>0</v>
      </c>
      <c r="AN31" s="67">
        <f t="shared" si="23"/>
        <v>0</v>
      </c>
      <c r="AO31" s="66">
        <f t="shared" si="118"/>
        <v>0</v>
      </c>
      <c r="AP31" s="66">
        <f t="shared" si="119"/>
        <v>0</v>
      </c>
      <c r="AQ31" s="66">
        <f t="shared" si="120"/>
        <v>0</v>
      </c>
      <c r="AR31" s="66">
        <f t="shared" si="121"/>
        <v>0</v>
      </c>
      <c r="AS31" s="66">
        <f t="shared" si="122"/>
        <v>0</v>
      </c>
      <c r="AT31" s="66">
        <f t="shared" si="123"/>
        <v>0</v>
      </c>
      <c r="AU31" s="66">
        <f t="shared" si="124"/>
        <v>0</v>
      </c>
      <c r="AV31" s="66">
        <f t="shared" si="125"/>
        <v>0</v>
      </c>
      <c r="AW31" s="66">
        <f t="shared" si="126"/>
        <v>0</v>
      </c>
      <c r="AX31" s="66">
        <f t="shared" si="127"/>
        <v>0</v>
      </c>
      <c r="AY31" s="66">
        <f t="shared" si="128"/>
        <v>0</v>
      </c>
      <c r="AZ31" s="66">
        <f t="shared" si="129"/>
        <v>0</v>
      </c>
      <c r="BA31" s="66">
        <f t="shared" si="130"/>
        <v>0</v>
      </c>
      <c r="BB31" s="66">
        <f t="shared" si="131"/>
        <v>0</v>
      </c>
      <c r="BC31" s="66">
        <f t="shared" si="132"/>
        <v>0</v>
      </c>
      <c r="BD31" s="66">
        <f t="shared" si="133"/>
        <v>0</v>
      </c>
      <c r="BE31" s="66">
        <f t="shared" si="134"/>
        <v>0</v>
      </c>
      <c r="BF31" s="66">
        <f t="shared" si="135"/>
        <v>0</v>
      </c>
      <c r="BG31" s="66">
        <f t="shared" si="136"/>
        <v>0</v>
      </c>
      <c r="BH31" s="66">
        <f t="shared" si="137"/>
        <v>0</v>
      </c>
      <c r="BI31" s="66">
        <f t="shared" si="138"/>
        <v>0</v>
      </c>
      <c r="BJ31" s="68">
        <f t="shared" si="139"/>
        <v>0</v>
      </c>
      <c r="BK31" s="352">
        <v>1</v>
      </c>
      <c r="BL31" s="352">
        <v>12</v>
      </c>
      <c r="BM31" s="263">
        <v>1</v>
      </c>
      <c r="BN31" s="263">
        <v>12</v>
      </c>
      <c r="BO31" s="69">
        <f t="shared" si="140"/>
        <v>42186</v>
      </c>
      <c r="BP31" s="69">
        <f t="shared" si="141"/>
        <v>42552</v>
      </c>
      <c r="BQ31" s="70">
        <f t="shared" si="46"/>
        <v>6.54E-2</v>
      </c>
      <c r="BR31" s="285">
        <f t="shared" si="47"/>
        <v>0.1391</v>
      </c>
      <c r="BS31" s="68">
        <f t="shared" si="142"/>
        <v>0</v>
      </c>
      <c r="BT31" s="68">
        <f t="shared" si="143"/>
        <v>0</v>
      </c>
      <c r="BU31" s="353"/>
      <c r="BV31" s="71" t="e">
        <f t="shared" si="144"/>
        <v>#DIV/0!</v>
      </c>
      <c r="BW31" s="72"/>
      <c r="BX31" s="73" t="e">
        <f t="shared" si="51"/>
        <v>#DIV/0!</v>
      </c>
      <c r="BY31" s="73" t="e">
        <f t="shared" si="52"/>
        <v>#DIV/0!</v>
      </c>
      <c r="BZ31" s="73" t="e">
        <f t="shared" si="53"/>
        <v>#DIV/0!</v>
      </c>
      <c r="CA31" s="73" t="e">
        <f t="shared" si="54"/>
        <v>#DIV/0!</v>
      </c>
      <c r="CB31" s="73" t="e">
        <f t="shared" si="55"/>
        <v>#DIV/0!</v>
      </c>
      <c r="CD31" s="354"/>
      <c r="CE31" s="354"/>
      <c r="CF31" s="354"/>
      <c r="CG31" s="354"/>
      <c r="CH31" s="354"/>
      <c r="CI31" s="354"/>
      <c r="CJ31" s="354"/>
      <c r="CK31" s="354"/>
      <c r="CL31" s="354"/>
      <c r="CM31" s="354"/>
      <c r="CN31" s="354"/>
      <c r="CO31" s="354"/>
      <c r="CP31" s="354"/>
      <c r="CQ31" s="354"/>
      <c r="CR31" s="354"/>
      <c r="CS31" s="354"/>
      <c r="CT31" s="354"/>
      <c r="CU31" s="354"/>
      <c r="CV31" s="354"/>
      <c r="CW31" s="354"/>
      <c r="CX31" s="354"/>
      <c r="CY31" s="354"/>
      <c r="CZ31" s="354"/>
      <c r="DA31" s="354"/>
      <c r="DB31" s="354"/>
      <c r="DC31" s="354"/>
      <c r="DD31" s="95"/>
      <c r="DE31" s="45"/>
      <c r="DF31" s="76"/>
      <c r="DG31" s="77">
        <f t="shared" si="145"/>
        <v>0</v>
      </c>
      <c r="DH31" s="68">
        <f t="shared" si="146"/>
        <v>0</v>
      </c>
      <c r="DI31" s="78"/>
      <c r="DJ31" s="189"/>
      <c r="DL31" s="146">
        <f t="shared" si="58"/>
        <v>0</v>
      </c>
      <c r="DM31" s="146">
        <f t="shared" si="147"/>
        <v>0</v>
      </c>
      <c r="DN31" s="146">
        <f t="shared" si="60"/>
        <v>0</v>
      </c>
      <c r="DO31" s="146">
        <f t="shared" si="61"/>
        <v>0</v>
      </c>
      <c r="DP31" s="146">
        <f t="shared" si="62"/>
        <v>0</v>
      </c>
      <c r="DQ31" s="146">
        <f t="shared" si="63"/>
        <v>0</v>
      </c>
      <c r="DR31" s="146">
        <f t="shared" si="64"/>
        <v>0</v>
      </c>
      <c r="DS31" s="146">
        <f t="shared" si="65"/>
        <v>0</v>
      </c>
      <c r="DT31" s="146">
        <f t="shared" si="66"/>
        <v>0</v>
      </c>
      <c r="DU31" s="146">
        <f t="shared" si="67"/>
        <v>0</v>
      </c>
      <c r="DV31" s="146">
        <f t="shared" si="68"/>
        <v>0</v>
      </c>
      <c r="DW31" s="181">
        <f t="shared" si="69"/>
        <v>0</v>
      </c>
      <c r="DY31" s="183" t="e">
        <f>$CD31*VLOOKUP($G31,'Рецепты а.б.'!$B$5:$AW$50,DY$67,0)</f>
        <v>#N/A</v>
      </c>
      <c r="DZ31" s="75" t="e">
        <f>$CD31*VLOOKUP($G31,'Рецепты а.б.'!$B$5:$AW$50,DZ$67,0)</f>
        <v>#N/A</v>
      </c>
      <c r="EA31" s="75" t="e">
        <f>$CD31*VLOOKUP($G31,'Рецепты а.б.'!$B$5:$AW$50,EA$67,0)</f>
        <v>#N/A</v>
      </c>
      <c r="EB31" s="75" t="e">
        <f>$CD31*VLOOKUP($G31,'Рецепты а.б.'!$B$5:$AW$50,EB$67,0)</f>
        <v>#N/A</v>
      </c>
      <c r="EC31" s="75" t="e">
        <f>$CD31*VLOOKUP($G31,'Рецепты а.б.'!$B$5:$AW$50,EC$67,0)</f>
        <v>#N/A</v>
      </c>
      <c r="ED31" s="75" t="e">
        <f>$CD31*VLOOKUP($G31,'Рецепты а.б.'!$B$5:$AW$50,ED$67,0)</f>
        <v>#N/A</v>
      </c>
      <c r="EE31" s="75" t="e">
        <f>$CD31*VLOOKUP($G31,'Рецепты а.б.'!$B$5:$AW$50,EE$67,0)</f>
        <v>#N/A</v>
      </c>
      <c r="EF31" s="75" t="e">
        <f>$CF31*VLOOKUP($G31,'Рецепты а.б.'!$B$5:$AW$50,EF$67,0)</f>
        <v>#N/A</v>
      </c>
      <c r="EG31" s="75" t="e">
        <f>$CF31*VLOOKUP($G31,'Рецепты а.б.'!$B$5:$AW$50,EG$67,0)</f>
        <v>#N/A</v>
      </c>
      <c r="EH31" s="75" t="e">
        <f>$CF31*VLOOKUP($G31,'Рецепты а.б.'!$B$5:$AW$50,EH$67,0)</f>
        <v>#N/A</v>
      </c>
      <c r="EI31" s="75" t="e">
        <f>$CF31*VLOOKUP($G31,'Рецепты а.б.'!$B$5:$AW$50,EI$67,0)</f>
        <v>#N/A</v>
      </c>
      <c r="EJ31" s="75" t="e">
        <f>$CF31*VLOOKUP($G31,'Рецепты а.б.'!$B$5:$AW$50,EJ$67,0)</f>
        <v>#N/A</v>
      </c>
      <c r="EK31" s="75" t="e">
        <f>$CF31*VLOOKUP($G31,'Рецепты а.б.'!$B$5:$AW$50,EK$67,0)</f>
        <v>#N/A</v>
      </c>
      <c r="EL31" s="75" t="e">
        <f>$CF31*VLOOKUP($G31,'Рецепты а.б.'!$B$5:$AW$50,EL$67,0)</f>
        <v>#N/A</v>
      </c>
      <c r="EM31" s="75" t="e">
        <f>$CG31*VLOOKUP($G31,'Рецепты а.б.'!$B$5:$AW$50,EM$67,0)</f>
        <v>#N/A</v>
      </c>
      <c r="EN31" s="75" t="e">
        <f>$CG31*VLOOKUP($G31,'Рецепты а.б.'!$B$5:$AW$50,EN$67,0)</f>
        <v>#N/A</v>
      </c>
      <c r="EO31" s="75" t="e">
        <f>$CG31*VLOOKUP($G31,'Рецепты а.б.'!$B$5:$AW$50,EO$67,0)</f>
        <v>#N/A</v>
      </c>
      <c r="EP31" s="75" t="e">
        <f>$CG31*VLOOKUP($G31,'Рецепты а.б.'!$B$5:$AW$50,EP$67,0)</f>
        <v>#N/A</v>
      </c>
      <c r="EQ31" s="75" t="e">
        <f>$CG31*VLOOKUP($G31,'Рецепты а.б.'!$B$5:$AW$50,EQ$67,0)</f>
        <v>#N/A</v>
      </c>
      <c r="ER31" s="75" t="e">
        <f>$CG31*VLOOKUP($G31,'Рецепты а.б.'!$B$5:$AW$50,ER$67,0)</f>
        <v>#N/A</v>
      </c>
      <c r="ES31" s="75" t="e">
        <f>$CG31*VLOOKUP($G31,'Рецепты а.б.'!$B$5:$AW$50,ES$67,0)</f>
        <v>#N/A</v>
      </c>
      <c r="ET31" s="75" t="e">
        <f>$CH31*VLOOKUP($G31,'Рецепты а.б.'!$B$5:$AW$50,ET$67,0)</f>
        <v>#N/A</v>
      </c>
      <c r="EU31" s="75" t="e">
        <f>$CH31*VLOOKUP($G31,'Рецепты а.б.'!$B$5:$AW$50,EU$67,0)</f>
        <v>#N/A</v>
      </c>
      <c r="EV31" s="75" t="e">
        <f>$CH31*VLOOKUP($G31,'Рецепты а.б.'!$B$5:$AW$50,EV$67,0)</f>
        <v>#N/A</v>
      </c>
      <c r="EW31" s="75" t="e">
        <f>$CH31*VLOOKUP($G31,'Рецепты а.б.'!$B$5:$AW$50,EW$67,0)</f>
        <v>#N/A</v>
      </c>
      <c r="EX31" s="75" t="e">
        <f>$CH31*VLOOKUP($G31,'Рецепты а.б.'!$B$5:$AW$50,EX$67,0)</f>
        <v>#N/A</v>
      </c>
      <c r="EY31" s="75" t="e">
        <f>$CI31*VLOOKUP($G31,'Рецепты а.б.'!$B$5:$AW$50,EY$67,0)</f>
        <v>#N/A</v>
      </c>
      <c r="EZ31" s="75" t="e">
        <f>$CI31*VLOOKUP($G31,'Рецепты а.б.'!$B$5:$AW$50,EZ$67,0)</f>
        <v>#N/A</v>
      </c>
      <c r="FA31" s="75" t="e">
        <f>$CI31*VLOOKUP($G31,'Рецепты а.б.'!$B$5:$AW$50,FA$67,0)</f>
        <v>#N/A</v>
      </c>
      <c r="FB31" s="75" t="e">
        <f>$CI31*VLOOKUP($G31,'Рецепты а.б.'!$B$5:$AW$50,FB$67,0)</f>
        <v>#N/A</v>
      </c>
      <c r="FC31" s="75" t="e">
        <f>$CI31*VLOOKUP($G31,'Рецепты а.б.'!$B$5:$AW$50,FC$67,0)</f>
        <v>#N/A</v>
      </c>
      <c r="FD31" s="75" t="e">
        <f>$CI31*VLOOKUP($G31,'Рецепты а.б.'!$B$5:$AW$50,FD$67,0)</f>
        <v>#N/A</v>
      </c>
      <c r="FE31" s="75" t="e">
        <f>$CJ31*VLOOKUP($G31,'Рецепты а.б.'!$B$5:$AW$50,FE$67,0)</f>
        <v>#N/A</v>
      </c>
      <c r="FF31" s="75" t="e">
        <f>$CJ31*VLOOKUP($G31,'Рецепты а.б.'!$B$5:$AW$50,FF$67,0)</f>
        <v>#N/A</v>
      </c>
      <c r="FG31" s="75" t="e">
        <f>$CE31*VLOOKUP($G31,'Рецепты а.б.'!$B$5:$AW$50,FG$67,0)</f>
        <v>#N/A</v>
      </c>
      <c r="FH31" s="75" t="e">
        <f>$CE31*VLOOKUP($G31,'Рецепты а.б.'!$B$5:$AW$50,FH$67,0)</f>
        <v>#N/A</v>
      </c>
      <c r="FI31" s="75" t="e">
        <f>$CE31*VLOOKUP($G31,'Рецепты а.б.'!$B$5:$AW$50,FI$67,0)</f>
        <v>#N/A</v>
      </c>
      <c r="FJ31" s="75" t="e">
        <f>$CE31*VLOOKUP($G31,'Рецепты а.б.'!$B$5:$AW$50,FJ$67,0)</f>
        <v>#N/A</v>
      </c>
      <c r="FK31" s="75" t="e">
        <f>$CE31*VLOOKUP($G31,'Рецепты а.б.'!$B$5:$AW$50,FK$67,0)</f>
        <v>#N/A</v>
      </c>
      <c r="FL31" s="75" t="e">
        <f>$CE31*VLOOKUP($G31,'Рецепты а.б.'!$B$5:$AW$50,FL$67,0)</f>
        <v>#N/A</v>
      </c>
      <c r="FM31" s="75" t="e">
        <f>$CE31*VLOOKUP($G31,'Рецепты а.б.'!$B$5:$AW$50,FM$67,0)</f>
        <v>#N/A</v>
      </c>
      <c r="FN31" s="75" t="e">
        <f>$CE31*VLOOKUP($G31,'Рецепты а.б.'!$B$5:$AW$50,FN$67,0)</f>
        <v>#N/A</v>
      </c>
    </row>
    <row r="32" spans="1:170" s="64" customFormat="1" hidden="1" x14ac:dyDescent="0.2">
      <c r="A32" s="127">
        <f t="shared" si="201"/>
        <v>29</v>
      </c>
      <c r="B32" s="344"/>
      <c r="C32" s="344"/>
      <c r="D32" s="344"/>
      <c r="E32" s="420" t="s">
        <v>331</v>
      </c>
      <c r="F32" s="345"/>
      <c r="G32" s="346"/>
      <c r="H32" s="419" t="s">
        <v>206</v>
      </c>
      <c r="I32" s="347"/>
      <c r="J32" s="348"/>
      <c r="K32" s="348"/>
      <c r="L32" s="348"/>
      <c r="M32" s="348"/>
      <c r="N32" s="348"/>
      <c r="O32" s="65">
        <f t="shared" si="206"/>
        <v>0</v>
      </c>
      <c r="P32" s="342">
        <f t="shared" si="5"/>
        <v>0</v>
      </c>
      <c r="Q32" s="342"/>
      <c r="R32" s="342"/>
      <c r="S32" s="342"/>
      <c r="T32" s="65">
        <f t="shared" si="207"/>
        <v>0</v>
      </c>
      <c r="U32" s="66">
        <f t="shared" si="108"/>
        <v>0</v>
      </c>
      <c r="V32" s="66">
        <f t="shared" si="109"/>
        <v>0</v>
      </c>
      <c r="W32" s="349">
        <f t="shared" si="74"/>
        <v>0</v>
      </c>
      <c r="X32" s="350"/>
      <c r="Y32" s="350"/>
      <c r="Z32" s="351"/>
      <c r="AA32" s="66">
        <f t="shared" si="110"/>
        <v>0</v>
      </c>
      <c r="AB32" s="66">
        <f t="shared" si="111"/>
        <v>0</v>
      </c>
      <c r="AC32" s="66">
        <f t="shared" si="112"/>
        <v>0</v>
      </c>
      <c r="AD32" s="66">
        <f t="shared" si="113"/>
        <v>0</v>
      </c>
      <c r="AE32" s="66">
        <f t="shared" si="14"/>
        <v>0</v>
      </c>
      <c r="AF32" s="66">
        <f t="shared" si="15"/>
        <v>0</v>
      </c>
      <c r="AG32" s="66">
        <f t="shared" si="16"/>
        <v>0</v>
      </c>
      <c r="AH32" s="66">
        <f t="shared" si="17"/>
        <v>0</v>
      </c>
      <c r="AI32" s="66">
        <f t="shared" si="18"/>
        <v>0</v>
      </c>
      <c r="AJ32" s="66">
        <f t="shared" si="114"/>
        <v>0</v>
      </c>
      <c r="AK32" s="67">
        <f t="shared" si="115"/>
        <v>0</v>
      </c>
      <c r="AL32" s="67">
        <f t="shared" si="116"/>
        <v>0</v>
      </c>
      <c r="AM32" s="67">
        <f t="shared" si="117"/>
        <v>0</v>
      </c>
      <c r="AN32" s="67">
        <f t="shared" si="23"/>
        <v>0</v>
      </c>
      <c r="AO32" s="66">
        <f t="shared" si="118"/>
        <v>0</v>
      </c>
      <c r="AP32" s="66">
        <f t="shared" si="119"/>
        <v>0</v>
      </c>
      <c r="AQ32" s="66">
        <f t="shared" si="120"/>
        <v>0</v>
      </c>
      <c r="AR32" s="66">
        <f t="shared" si="121"/>
        <v>0</v>
      </c>
      <c r="AS32" s="66">
        <f t="shared" si="122"/>
        <v>0</v>
      </c>
      <c r="AT32" s="66">
        <f t="shared" si="123"/>
        <v>0</v>
      </c>
      <c r="AU32" s="66">
        <f t="shared" si="124"/>
        <v>0</v>
      </c>
      <c r="AV32" s="66">
        <f t="shared" si="125"/>
        <v>0</v>
      </c>
      <c r="AW32" s="66">
        <f t="shared" si="126"/>
        <v>0</v>
      </c>
      <c r="AX32" s="66">
        <f t="shared" si="127"/>
        <v>0</v>
      </c>
      <c r="AY32" s="66">
        <f t="shared" si="128"/>
        <v>0</v>
      </c>
      <c r="AZ32" s="66">
        <f t="shared" si="129"/>
        <v>0</v>
      </c>
      <c r="BA32" s="66">
        <f t="shared" si="130"/>
        <v>0</v>
      </c>
      <c r="BB32" s="66">
        <f t="shared" si="131"/>
        <v>0</v>
      </c>
      <c r="BC32" s="66">
        <f t="shared" si="132"/>
        <v>0</v>
      </c>
      <c r="BD32" s="66">
        <f t="shared" si="133"/>
        <v>0</v>
      </c>
      <c r="BE32" s="66">
        <f t="shared" si="134"/>
        <v>0</v>
      </c>
      <c r="BF32" s="66">
        <f t="shared" si="135"/>
        <v>0</v>
      </c>
      <c r="BG32" s="66">
        <f t="shared" si="136"/>
        <v>0</v>
      </c>
      <c r="BH32" s="66">
        <f t="shared" si="137"/>
        <v>0</v>
      </c>
      <c r="BI32" s="66">
        <f t="shared" si="138"/>
        <v>0</v>
      </c>
      <c r="BJ32" s="68">
        <f t="shared" si="139"/>
        <v>0</v>
      </c>
      <c r="BK32" s="352">
        <v>1</v>
      </c>
      <c r="BL32" s="352">
        <v>12</v>
      </c>
      <c r="BM32" s="263">
        <v>1</v>
      </c>
      <c r="BN32" s="263">
        <v>12</v>
      </c>
      <c r="BO32" s="69">
        <f t="shared" si="140"/>
        <v>42186</v>
      </c>
      <c r="BP32" s="69">
        <f t="shared" si="141"/>
        <v>42552</v>
      </c>
      <c r="BQ32" s="70">
        <f t="shared" si="46"/>
        <v>6.54E-2</v>
      </c>
      <c r="BR32" s="285">
        <f t="shared" si="47"/>
        <v>0.1391</v>
      </c>
      <c r="BS32" s="68">
        <f t="shared" si="142"/>
        <v>0</v>
      </c>
      <c r="BT32" s="68">
        <f t="shared" si="143"/>
        <v>0</v>
      </c>
      <c r="BU32" s="353"/>
      <c r="BV32" s="71" t="e">
        <f t="shared" si="144"/>
        <v>#DIV/0!</v>
      </c>
      <c r="BW32" s="72"/>
      <c r="BX32" s="73" t="e">
        <f t="shared" si="51"/>
        <v>#DIV/0!</v>
      </c>
      <c r="BY32" s="73" t="e">
        <f t="shared" si="52"/>
        <v>#DIV/0!</v>
      </c>
      <c r="BZ32" s="73" t="e">
        <f t="shared" si="53"/>
        <v>#DIV/0!</v>
      </c>
      <c r="CA32" s="73" t="e">
        <f t="shared" si="54"/>
        <v>#DIV/0!</v>
      </c>
      <c r="CB32" s="73" t="e">
        <f t="shared" si="55"/>
        <v>#DIV/0!</v>
      </c>
      <c r="CD32" s="354"/>
      <c r="CE32" s="354"/>
      <c r="CF32" s="354"/>
      <c r="CG32" s="354"/>
      <c r="CH32" s="354"/>
      <c r="CI32" s="354"/>
      <c r="CJ32" s="354"/>
      <c r="CK32" s="354"/>
      <c r="CL32" s="354"/>
      <c r="CM32" s="354"/>
      <c r="CN32" s="354"/>
      <c r="CO32" s="354"/>
      <c r="CP32" s="354"/>
      <c r="CQ32" s="354"/>
      <c r="CR32" s="354"/>
      <c r="CS32" s="354"/>
      <c r="CT32" s="354"/>
      <c r="CU32" s="354"/>
      <c r="CV32" s="354"/>
      <c r="CW32" s="354"/>
      <c r="CX32" s="354"/>
      <c r="CY32" s="354"/>
      <c r="CZ32" s="354"/>
      <c r="DA32" s="354"/>
      <c r="DB32" s="354"/>
      <c r="DC32" s="354"/>
      <c r="DD32" s="95"/>
      <c r="DE32" s="45"/>
      <c r="DF32" s="76"/>
      <c r="DG32" s="77">
        <f t="shared" si="145"/>
        <v>0</v>
      </c>
      <c r="DH32" s="68">
        <f t="shared" si="146"/>
        <v>0</v>
      </c>
      <c r="DI32" s="78"/>
      <c r="DJ32" s="189"/>
      <c r="DL32" s="146">
        <f t="shared" si="58"/>
        <v>0</v>
      </c>
      <c r="DM32" s="146">
        <f t="shared" si="147"/>
        <v>0</v>
      </c>
      <c r="DN32" s="146">
        <f t="shared" si="60"/>
        <v>0</v>
      </c>
      <c r="DO32" s="146">
        <f t="shared" si="61"/>
        <v>0</v>
      </c>
      <c r="DP32" s="146">
        <f t="shared" si="62"/>
        <v>0</v>
      </c>
      <c r="DQ32" s="146">
        <f t="shared" si="63"/>
        <v>0</v>
      </c>
      <c r="DR32" s="146">
        <f t="shared" si="64"/>
        <v>0</v>
      </c>
      <c r="DS32" s="146">
        <f t="shared" si="65"/>
        <v>0</v>
      </c>
      <c r="DT32" s="146">
        <f t="shared" si="66"/>
        <v>0</v>
      </c>
      <c r="DU32" s="146">
        <f t="shared" si="67"/>
        <v>0</v>
      </c>
      <c r="DV32" s="146">
        <f t="shared" si="68"/>
        <v>0</v>
      </c>
      <c r="DW32" s="181">
        <f t="shared" si="69"/>
        <v>0</v>
      </c>
      <c r="DY32" s="183" t="e">
        <f>$CD32*VLOOKUP($G32,'Рецепты а.б.'!$B$5:$AW$50,DY$67,0)</f>
        <v>#N/A</v>
      </c>
      <c r="DZ32" s="75" t="e">
        <f>$CD32*VLOOKUP($G32,'Рецепты а.б.'!$B$5:$AW$50,DZ$67,0)</f>
        <v>#N/A</v>
      </c>
      <c r="EA32" s="75" t="e">
        <f>$CD32*VLOOKUP($G32,'Рецепты а.б.'!$B$5:$AW$50,EA$67,0)</f>
        <v>#N/A</v>
      </c>
      <c r="EB32" s="75" t="e">
        <f>$CD32*VLOOKUP($G32,'Рецепты а.б.'!$B$5:$AW$50,EB$67,0)</f>
        <v>#N/A</v>
      </c>
      <c r="EC32" s="75" t="e">
        <f>$CD32*VLOOKUP($G32,'Рецепты а.б.'!$B$5:$AW$50,EC$67,0)</f>
        <v>#N/A</v>
      </c>
      <c r="ED32" s="75" t="e">
        <f>$CD32*VLOOKUP($G32,'Рецепты а.б.'!$B$5:$AW$50,ED$67,0)</f>
        <v>#N/A</v>
      </c>
      <c r="EE32" s="75" t="e">
        <f>$CD32*VLOOKUP($G32,'Рецепты а.б.'!$B$5:$AW$50,EE$67,0)</f>
        <v>#N/A</v>
      </c>
      <c r="EF32" s="75" t="e">
        <f>$CF32*VLOOKUP($G32,'Рецепты а.б.'!$B$5:$AW$50,EF$67,0)</f>
        <v>#N/A</v>
      </c>
      <c r="EG32" s="75" t="e">
        <f>$CF32*VLOOKUP($G32,'Рецепты а.б.'!$B$5:$AW$50,EG$67,0)</f>
        <v>#N/A</v>
      </c>
      <c r="EH32" s="75" t="e">
        <f>$CF32*VLOOKUP($G32,'Рецепты а.б.'!$B$5:$AW$50,EH$67,0)</f>
        <v>#N/A</v>
      </c>
      <c r="EI32" s="75" t="e">
        <f>$CF32*VLOOKUP($G32,'Рецепты а.б.'!$B$5:$AW$50,EI$67,0)</f>
        <v>#N/A</v>
      </c>
      <c r="EJ32" s="75" t="e">
        <f>$CF32*VLOOKUP($G32,'Рецепты а.б.'!$B$5:$AW$50,EJ$67,0)</f>
        <v>#N/A</v>
      </c>
      <c r="EK32" s="75" t="e">
        <f>$CF32*VLOOKUP($G32,'Рецепты а.б.'!$B$5:$AW$50,EK$67,0)</f>
        <v>#N/A</v>
      </c>
      <c r="EL32" s="75" t="e">
        <f>$CF32*VLOOKUP($G32,'Рецепты а.б.'!$B$5:$AW$50,EL$67,0)</f>
        <v>#N/A</v>
      </c>
      <c r="EM32" s="75" t="e">
        <f>$CG32*VLOOKUP($G32,'Рецепты а.б.'!$B$5:$AW$50,EM$67,0)</f>
        <v>#N/A</v>
      </c>
      <c r="EN32" s="75" t="e">
        <f>$CG32*VLOOKUP($G32,'Рецепты а.б.'!$B$5:$AW$50,EN$67,0)</f>
        <v>#N/A</v>
      </c>
      <c r="EO32" s="75" t="e">
        <f>$CG32*VLOOKUP($G32,'Рецепты а.б.'!$B$5:$AW$50,EO$67,0)</f>
        <v>#N/A</v>
      </c>
      <c r="EP32" s="75" t="e">
        <f>$CG32*VLOOKUP($G32,'Рецепты а.б.'!$B$5:$AW$50,EP$67,0)</f>
        <v>#N/A</v>
      </c>
      <c r="EQ32" s="75" t="e">
        <f>$CG32*VLOOKUP($G32,'Рецепты а.б.'!$B$5:$AW$50,EQ$67,0)</f>
        <v>#N/A</v>
      </c>
      <c r="ER32" s="75" t="e">
        <f>$CG32*VLOOKUP($G32,'Рецепты а.б.'!$B$5:$AW$50,ER$67,0)</f>
        <v>#N/A</v>
      </c>
      <c r="ES32" s="75" t="e">
        <f>$CG32*VLOOKUP($G32,'Рецепты а.б.'!$B$5:$AW$50,ES$67,0)</f>
        <v>#N/A</v>
      </c>
      <c r="ET32" s="75" t="e">
        <f>$CH32*VLOOKUP($G32,'Рецепты а.б.'!$B$5:$AW$50,ET$67,0)</f>
        <v>#N/A</v>
      </c>
      <c r="EU32" s="75" t="e">
        <f>$CH32*VLOOKUP($G32,'Рецепты а.б.'!$B$5:$AW$50,EU$67,0)</f>
        <v>#N/A</v>
      </c>
      <c r="EV32" s="75" t="e">
        <f>$CH32*VLOOKUP($G32,'Рецепты а.б.'!$B$5:$AW$50,EV$67,0)</f>
        <v>#N/A</v>
      </c>
      <c r="EW32" s="75" t="e">
        <f>$CH32*VLOOKUP($G32,'Рецепты а.б.'!$B$5:$AW$50,EW$67,0)</f>
        <v>#N/A</v>
      </c>
      <c r="EX32" s="75" t="e">
        <f>$CH32*VLOOKUP($G32,'Рецепты а.б.'!$B$5:$AW$50,EX$67,0)</f>
        <v>#N/A</v>
      </c>
      <c r="EY32" s="75" t="e">
        <f>$CI32*VLOOKUP($G32,'Рецепты а.б.'!$B$5:$AW$50,EY$67,0)</f>
        <v>#N/A</v>
      </c>
      <c r="EZ32" s="75" t="e">
        <f>$CI32*VLOOKUP($G32,'Рецепты а.б.'!$B$5:$AW$50,EZ$67,0)</f>
        <v>#N/A</v>
      </c>
      <c r="FA32" s="75" t="e">
        <f>$CI32*VLOOKUP($G32,'Рецепты а.б.'!$B$5:$AW$50,FA$67,0)</f>
        <v>#N/A</v>
      </c>
      <c r="FB32" s="75" t="e">
        <f>$CI32*VLOOKUP($G32,'Рецепты а.б.'!$B$5:$AW$50,FB$67,0)</f>
        <v>#N/A</v>
      </c>
      <c r="FC32" s="75" t="e">
        <f>$CI32*VLOOKUP($G32,'Рецепты а.б.'!$B$5:$AW$50,FC$67,0)</f>
        <v>#N/A</v>
      </c>
      <c r="FD32" s="75" t="e">
        <f>$CI32*VLOOKUP($G32,'Рецепты а.б.'!$B$5:$AW$50,FD$67,0)</f>
        <v>#N/A</v>
      </c>
      <c r="FE32" s="75" t="e">
        <f>$CJ32*VLOOKUP($G32,'Рецепты а.б.'!$B$5:$AW$50,FE$67,0)</f>
        <v>#N/A</v>
      </c>
      <c r="FF32" s="75" t="e">
        <f>$CJ32*VLOOKUP($G32,'Рецепты а.б.'!$B$5:$AW$50,FF$67,0)</f>
        <v>#N/A</v>
      </c>
      <c r="FG32" s="75" t="e">
        <f>$CE32*VLOOKUP($G32,'Рецепты а.б.'!$B$5:$AW$50,FG$67,0)</f>
        <v>#N/A</v>
      </c>
      <c r="FH32" s="75" t="e">
        <f>$CE32*VLOOKUP($G32,'Рецепты а.б.'!$B$5:$AW$50,FH$67,0)</f>
        <v>#N/A</v>
      </c>
      <c r="FI32" s="75" t="e">
        <f>$CE32*VLOOKUP($G32,'Рецепты а.б.'!$B$5:$AW$50,FI$67,0)</f>
        <v>#N/A</v>
      </c>
      <c r="FJ32" s="75" t="e">
        <f>$CE32*VLOOKUP($G32,'Рецепты а.б.'!$B$5:$AW$50,FJ$67,0)</f>
        <v>#N/A</v>
      </c>
      <c r="FK32" s="75" t="e">
        <f>$CE32*VLOOKUP($G32,'Рецепты а.б.'!$B$5:$AW$50,FK$67,0)</f>
        <v>#N/A</v>
      </c>
      <c r="FL32" s="75" t="e">
        <f>$CE32*VLOOKUP($G32,'Рецепты а.б.'!$B$5:$AW$50,FL$67,0)</f>
        <v>#N/A</v>
      </c>
      <c r="FM32" s="75" t="e">
        <f>$CE32*VLOOKUP($G32,'Рецепты а.б.'!$B$5:$AW$50,FM$67,0)</f>
        <v>#N/A</v>
      </c>
      <c r="FN32" s="75" t="e">
        <f>$CE32*VLOOKUP($G32,'Рецепты а.б.'!$B$5:$AW$50,FN$67,0)</f>
        <v>#N/A</v>
      </c>
    </row>
    <row r="33" spans="1:170" s="64" customFormat="1" hidden="1" x14ac:dyDescent="0.2">
      <c r="A33" s="127">
        <f t="shared" si="201"/>
        <v>30</v>
      </c>
      <c r="B33" s="344"/>
      <c r="C33" s="344"/>
      <c r="D33" s="344"/>
      <c r="E33" s="420" t="s">
        <v>331</v>
      </c>
      <c r="F33" s="345"/>
      <c r="G33" s="346"/>
      <c r="H33" s="419" t="s">
        <v>206</v>
      </c>
      <c r="I33" s="347"/>
      <c r="J33" s="348"/>
      <c r="K33" s="348"/>
      <c r="L33" s="348"/>
      <c r="M33" s="348"/>
      <c r="N33" s="348"/>
      <c r="O33" s="65">
        <f t="shared" si="206"/>
        <v>0</v>
      </c>
      <c r="P33" s="342">
        <f t="shared" si="5"/>
        <v>0</v>
      </c>
      <c r="Q33" s="342"/>
      <c r="R33" s="342"/>
      <c r="S33" s="342"/>
      <c r="T33" s="65">
        <f t="shared" si="207"/>
        <v>0</v>
      </c>
      <c r="U33" s="66">
        <f t="shared" si="108"/>
        <v>0</v>
      </c>
      <c r="V33" s="66">
        <f t="shared" si="109"/>
        <v>0</v>
      </c>
      <c r="W33" s="349">
        <f t="shared" si="74"/>
        <v>0</v>
      </c>
      <c r="X33" s="350"/>
      <c r="Y33" s="350"/>
      <c r="Z33" s="351"/>
      <c r="AA33" s="66">
        <f t="shared" si="110"/>
        <v>0</v>
      </c>
      <c r="AB33" s="66">
        <f t="shared" si="111"/>
        <v>0</v>
      </c>
      <c r="AC33" s="66">
        <f t="shared" si="112"/>
        <v>0</v>
      </c>
      <c r="AD33" s="66">
        <f t="shared" si="113"/>
        <v>0</v>
      </c>
      <c r="AE33" s="66">
        <f t="shared" si="14"/>
        <v>0</v>
      </c>
      <c r="AF33" s="66">
        <f t="shared" si="15"/>
        <v>0</v>
      </c>
      <c r="AG33" s="66">
        <f t="shared" si="16"/>
        <v>0</v>
      </c>
      <c r="AH33" s="66">
        <f t="shared" si="17"/>
        <v>0</v>
      </c>
      <c r="AI33" s="66">
        <f t="shared" si="18"/>
        <v>0</v>
      </c>
      <c r="AJ33" s="66">
        <f t="shared" si="114"/>
        <v>0</v>
      </c>
      <c r="AK33" s="67">
        <f t="shared" si="115"/>
        <v>0</v>
      </c>
      <c r="AL33" s="67">
        <f t="shared" si="116"/>
        <v>0</v>
      </c>
      <c r="AM33" s="67">
        <f t="shared" si="117"/>
        <v>0</v>
      </c>
      <c r="AN33" s="67">
        <f t="shared" si="23"/>
        <v>0</v>
      </c>
      <c r="AO33" s="66">
        <f t="shared" si="118"/>
        <v>0</v>
      </c>
      <c r="AP33" s="66">
        <f t="shared" si="119"/>
        <v>0</v>
      </c>
      <c r="AQ33" s="66">
        <f t="shared" si="120"/>
        <v>0</v>
      </c>
      <c r="AR33" s="66">
        <f t="shared" si="121"/>
        <v>0</v>
      </c>
      <c r="AS33" s="66">
        <f t="shared" si="122"/>
        <v>0</v>
      </c>
      <c r="AT33" s="66">
        <f t="shared" si="123"/>
        <v>0</v>
      </c>
      <c r="AU33" s="66">
        <f t="shared" si="124"/>
        <v>0</v>
      </c>
      <c r="AV33" s="66">
        <f t="shared" si="125"/>
        <v>0</v>
      </c>
      <c r="AW33" s="66">
        <f t="shared" si="126"/>
        <v>0</v>
      </c>
      <c r="AX33" s="66">
        <f t="shared" si="127"/>
        <v>0</v>
      </c>
      <c r="AY33" s="66">
        <f t="shared" si="128"/>
        <v>0</v>
      </c>
      <c r="AZ33" s="66">
        <f t="shared" si="129"/>
        <v>0</v>
      </c>
      <c r="BA33" s="66">
        <f t="shared" si="130"/>
        <v>0</v>
      </c>
      <c r="BB33" s="66">
        <f t="shared" si="131"/>
        <v>0</v>
      </c>
      <c r="BC33" s="66">
        <f t="shared" si="132"/>
        <v>0</v>
      </c>
      <c r="BD33" s="66">
        <f t="shared" si="133"/>
        <v>0</v>
      </c>
      <c r="BE33" s="66">
        <f t="shared" si="134"/>
        <v>0</v>
      </c>
      <c r="BF33" s="66">
        <f t="shared" si="135"/>
        <v>0</v>
      </c>
      <c r="BG33" s="66">
        <f t="shared" si="136"/>
        <v>0</v>
      </c>
      <c r="BH33" s="66">
        <f t="shared" si="137"/>
        <v>0</v>
      </c>
      <c r="BI33" s="66">
        <f t="shared" si="138"/>
        <v>0</v>
      </c>
      <c r="BJ33" s="68">
        <f t="shared" si="139"/>
        <v>0</v>
      </c>
      <c r="BK33" s="352">
        <v>1</v>
      </c>
      <c r="BL33" s="352">
        <v>12</v>
      </c>
      <c r="BM33" s="263">
        <v>1</v>
      </c>
      <c r="BN33" s="263">
        <v>12</v>
      </c>
      <c r="BO33" s="69">
        <f t="shared" si="140"/>
        <v>42186</v>
      </c>
      <c r="BP33" s="69">
        <f t="shared" si="141"/>
        <v>42552</v>
      </c>
      <c r="BQ33" s="70">
        <f t="shared" si="46"/>
        <v>6.54E-2</v>
      </c>
      <c r="BR33" s="285">
        <f t="shared" si="47"/>
        <v>0.1391</v>
      </c>
      <c r="BS33" s="68">
        <f t="shared" si="142"/>
        <v>0</v>
      </c>
      <c r="BT33" s="68">
        <f t="shared" si="143"/>
        <v>0</v>
      </c>
      <c r="BU33" s="353"/>
      <c r="BV33" s="71" t="e">
        <f t="shared" si="144"/>
        <v>#DIV/0!</v>
      </c>
      <c r="BW33" s="72"/>
      <c r="BX33" s="73" t="e">
        <f t="shared" si="51"/>
        <v>#DIV/0!</v>
      </c>
      <c r="BY33" s="73" t="e">
        <f t="shared" si="52"/>
        <v>#DIV/0!</v>
      </c>
      <c r="BZ33" s="73" t="e">
        <f t="shared" si="53"/>
        <v>#DIV/0!</v>
      </c>
      <c r="CA33" s="73" t="e">
        <f t="shared" si="54"/>
        <v>#DIV/0!</v>
      </c>
      <c r="CB33" s="73" t="e">
        <f t="shared" si="55"/>
        <v>#DIV/0!</v>
      </c>
      <c r="CD33" s="354"/>
      <c r="CE33" s="354"/>
      <c r="CF33" s="354"/>
      <c r="CG33" s="354"/>
      <c r="CH33" s="354"/>
      <c r="CI33" s="354"/>
      <c r="CJ33" s="354"/>
      <c r="CK33" s="354"/>
      <c r="CL33" s="354"/>
      <c r="CM33" s="354"/>
      <c r="CN33" s="354"/>
      <c r="CO33" s="354"/>
      <c r="CP33" s="354"/>
      <c r="CQ33" s="354"/>
      <c r="CR33" s="354"/>
      <c r="CS33" s="354"/>
      <c r="CT33" s="354"/>
      <c r="CU33" s="354"/>
      <c r="CV33" s="354"/>
      <c r="CW33" s="354"/>
      <c r="CX33" s="354"/>
      <c r="CY33" s="354"/>
      <c r="CZ33" s="354"/>
      <c r="DA33" s="354"/>
      <c r="DB33" s="354"/>
      <c r="DC33" s="354"/>
      <c r="DD33" s="95"/>
      <c r="DE33" s="45"/>
      <c r="DF33" s="76"/>
      <c r="DG33" s="77">
        <f t="shared" si="145"/>
        <v>0</v>
      </c>
      <c r="DH33" s="68">
        <f t="shared" si="146"/>
        <v>0</v>
      </c>
      <c r="DI33" s="78"/>
      <c r="DJ33" s="189"/>
      <c r="DL33" s="146">
        <f t="shared" si="58"/>
        <v>0</v>
      </c>
      <c r="DM33" s="146">
        <f t="shared" si="147"/>
        <v>0</v>
      </c>
      <c r="DN33" s="146">
        <f t="shared" si="60"/>
        <v>0</v>
      </c>
      <c r="DO33" s="146">
        <f t="shared" si="61"/>
        <v>0</v>
      </c>
      <c r="DP33" s="146">
        <f t="shared" si="62"/>
        <v>0</v>
      </c>
      <c r="DQ33" s="146">
        <f t="shared" si="63"/>
        <v>0</v>
      </c>
      <c r="DR33" s="146">
        <f t="shared" si="64"/>
        <v>0</v>
      </c>
      <c r="DS33" s="146">
        <f t="shared" si="65"/>
        <v>0</v>
      </c>
      <c r="DT33" s="146">
        <f t="shared" si="66"/>
        <v>0</v>
      </c>
      <c r="DU33" s="146">
        <f t="shared" si="67"/>
        <v>0</v>
      </c>
      <c r="DV33" s="146">
        <f t="shared" si="68"/>
        <v>0</v>
      </c>
      <c r="DW33" s="181">
        <f t="shared" si="69"/>
        <v>0</v>
      </c>
      <c r="DY33" s="183" t="e">
        <f>$CD33*VLOOKUP($G33,'Рецепты а.б.'!$B$5:$AW$50,DY$67,0)</f>
        <v>#N/A</v>
      </c>
      <c r="DZ33" s="75" t="e">
        <f>$CD33*VLOOKUP($G33,'Рецепты а.б.'!$B$5:$AW$50,DZ$67,0)</f>
        <v>#N/A</v>
      </c>
      <c r="EA33" s="75" t="e">
        <f>$CD33*VLOOKUP($G33,'Рецепты а.б.'!$B$5:$AW$50,EA$67,0)</f>
        <v>#N/A</v>
      </c>
      <c r="EB33" s="75" t="e">
        <f>$CD33*VLOOKUP($G33,'Рецепты а.б.'!$B$5:$AW$50,EB$67,0)</f>
        <v>#N/A</v>
      </c>
      <c r="EC33" s="75" t="e">
        <f>$CD33*VLOOKUP($G33,'Рецепты а.б.'!$B$5:$AW$50,EC$67,0)</f>
        <v>#N/A</v>
      </c>
      <c r="ED33" s="75" t="e">
        <f>$CD33*VLOOKUP($G33,'Рецепты а.б.'!$B$5:$AW$50,ED$67,0)</f>
        <v>#N/A</v>
      </c>
      <c r="EE33" s="75" t="e">
        <f>$CD33*VLOOKUP($G33,'Рецепты а.б.'!$B$5:$AW$50,EE$67,0)</f>
        <v>#N/A</v>
      </c>
      <c r="EF33" s="75" t="e">
        <f>$CF33*VLOOKUP($G33,'Рецепты а.б.'!$B$5:$AW$50,EF$67,0)</f>
        <v>#N/A</v>
      </c>
      <c r="EG33" s="75" t="e">
        <f>$CF33*VLOOKUP($G33,'Рецепты а.б.'!$B$5:$AW$50,EG$67,0)</f>
        <v>#N/A</v>
      </c>
      <c r="EH33" s="75" t="e">
        <f>$CF33*VLOOKUP($G33,'Рецепты а.б.'!$B$5:$AW$50,EH$67,0)</f>
        <v>#N/A</v>
      </c>
      <c r="EI33" s="75" t="e">
        <f>$CF33*VLOOKUP($G33,'Рецепты а.б.'!$B$5:$AW$50,EI$67,0)</f>
        <v>#N/A</v>
      </c>
      <c r="EJ33" s="75" t="e">
        <f>$CF33*VLOOKUP($G33,'Рецепты а.б.'!$B$5:$AW$50,EJ$67,0)</f>
        <v>#N/A</v>
      </c>
      <c r="EK33" s="75" t="e">
        <f>$CF33*VLOOKUP($G33,'Рецепты а.б.'!$B$5:$AW$50,EK$67,0)</f>
        <v>#N/A</v>
      </c>
      <c r="EL33" s="75" t="e">
        <f>$CF33*VLOOKUP($G33,'Рецепты а.б.'!$B$5:$AW$50,EL$67,0)</f>
        <v>#N/A</v>
      </c>
      <c r="EM33" s="75" t="e">
        <f>$CG33*VLOOKUP($G33,'Рецепты а.б.'!$B$5:$AW$50,EM$67,0)</f>
        <v>#N/A</v>
      </c>
      <c r="EN33" s="75" t="e">
        <f>$CG33*VLOOKUP($G33,'Рецепты а.б.'!$B$5:$AW$50,EN$67,0)</f>
        <v>#N/A</v>
      </c>
      <c r="EO33" s="75" t="e">
        <f>$CG33*VLOOKUP($G33,'Рецепты а.б.'!$B$5:$AW$50,EO$67,0)</f>
        <v>#N/A</v>
      </c>
      <c r="EP33" s="75" t="e">
        <f>$CG33*VLOOKUP($G33,'Рецепты а.б.'!$B$5:$AW$50,EP$67,0)</f>
        <v>#N/A</v>
      </c>
      <c r="EQ33" s="75" t="e">
        <f>$CG33*VLOOKUP($G33,'Рецепты а.б.'!$B$5:$AW$50,EQ$67,0)</f>
        <v>#N/A</v>
      </c>
      <c r="ER33" s="75" t="e">
        <f>$CG33*VLOOKUP($G33,'Рецепты а.б.'!$B$5:$AW$50,ER$67,0)</f>
        <v>#N/A</v>
      </c>
      <c r="ES33" s="75" t="e">
        <f>$CG33*VLOOKUP($G33,'Рецепты а.б.'!$B$5:$AW$50,ES$67,0)</f>
        <v>#N/A</v>
      </c>
      <c r="ET33" s="75" t="e">
        <f>$CH33*VLOOKUP($G33,'Рецепты а.б.'!$B$5:$AW$50,ET$67,0)</f>
        <v>#N/A</v>
      </c>
      <c r="EU33" s="75" t="e">
        <f>$CH33*VLOOKUP($G33,'Рецепты а.б.'!$B$5:$AW$50,EU$67,0)</f>
        <v>#N/A</v>
      </c>
      <c r="EV33" s="75" t="e">
        <f>$CH33*VLOOKUP($G33,'Рецепты а.б.'!$B$5:$AW$50,EV$67,0)</f>
        <v>#N/A</v>
      </c>
      <c r="EW33" s="75" t="e">
        <f>$CH33*VLOOKUP($G33,'Рецепты а.б.'!$B$5:$AW$50,EW$67,0)</f>
        <v>#N/A</v>
      </c>
      <c r="EX33" s="75" t="e">
        <f>$CH33*VLOOKUP($G33,'Рецепты а.б.'!$B$5:$AW$50,EX$67,0)</f>
        <v>#N/A</v>
      </c>
      <c r="EY33" s="75" t="e">
        <f>$CI33*VLOOKUP($G33,'Рецепты а.б.'!$B$5:$AW$50,EY$67,0)</f>
        <v>#N/A</v>
      </c>
      <c r="EZ33" s="75" t="e">
        <f>$CI33*VLOOKUP($G33,'Рецепты а.б.'!$B$5:$AW$50,EZ$67,0)</f>
        <v>#N/A</v>
      </c>
      <c r="FA33" s="75" t="e">
        <f>$CI33*VLOOKUP($G33,'Рецепты а.б.'!$B$5:$AW$50,FA$67,0)</f>
        <v>#N/A</v>
      </c>
      <c r="FB33" s="75" t="e">
        <f>$CI33*VLOOKUP($G33,'Рецепты а.б.'!$B$5:$AW$50,FB$67,0)</f>
        <v>#N/A</v>
      </c>
      <c r="FC33" s="75" t="e">
        <f>$CI33*VLOOKUP($G33,'Рецепты а.б.'!$B$5:$AW$50,FC$67,0)</f>
        <v>#N/A</v>
      </c>
      <c r="FD33" s="75" t="e">
        <f>$CI33*VLOOKUP($G33,'Рецепты а.б.'!$B$5:$AW$50,FD$67,0)</f>
        <v>#N/A</v>
      </c>
      <c r="FE33" s="75" t="e">
        <f>$CJ33*VLOOKUP($G33,'Рецепты а.б.'!$B$5:$AW$50,FE$67,0)</f>
        <v>#N/A</v>
      </c>
      <c r="FF33" s="75" t="e">
        <f>$CJ33*VLOOKUP($G33,'Рецепты а.б.'!$B$5:$AW$50,FF$67,0)</f>
        <v>#N/A</v>
      </c>
      <c r="FG33" s="75" t="e">
        <f>$CE33*VLOOKUP($G33,'Рецепты а.б.'!$B$5:$AW$50,FG$67,0)</f>
        <v>#N/A</v>
      </c>
      <c r="FH33" s="75" t="e">
        <f>$CE33*VLOOKUP($G33,'Рецепты а.б.'!$B$5:$AW$50,FH$67,0)</f>
        <v>#N/A</v>
      </c>
      <c r="FI33" s="75" t="e">
        <f>$CE33*VLOOKUP($G33,'Рецепты а.б.'!$B$5:$AW$50,FI$67,0)</f>
        <v>#N/A</v>
      </c>
      <c r="FJ33" s="75" t="e">
        <f>$CE33*VLOOKUP($G33,'Рецепты а.б.'!$B$5:$AW$50,FJ$67,0)</f>
        <v>#N/A</v>
      </c>
      <c r="FK33" s="75" t="e">
        <f>$CE33*VLOOKUP($G33,'Рецепты а.б.'!$B$5:$AW$50,FK$67,0)</f>
        <v>#N/A</v>
      </c>
      <c r="FL33" s="75" t="e">
        <f>$CE33*VLOOKUP($G33,'Рецепты а.б.'!$B$5:$AW$50,FL$67,0)</f>
        <v>#N/A</v>
      </c>
      <c r="FM33" s="75" t="e">
        <f>$CE33*VLOOKUP($G33,'Рецепты а.б.'!$B$5:$AW$50,FM$67,0)</f>
        <v>#N/A</v>
      </c>
      <c r="FN33" s="75" t="e">
        <f>$CE33*VLOOKUP($G33,'Рецепты а.б.'!$B$5:$AW$50,FN$67,0)</f>
        <v>#N/A</v>
      </c>
    </row>
    <row r="34" spans="1:170" s="64" customFormat="1" hidden="1" x14ac:dyDescent="0.2">
      <c r="A34" s="127">
        <f t="shared" si="201"/>
        <v>31</v>
      </c>
      <c r="B34" s="344"/>
      <c r="C34" s="344"/>
      <c r="D34" s="344"/>
      <c r="E34" s="420" t="s">
        <v>331</v>
      </c>
      <c r="F34" s="345"/>
      <c r="G34" s="346"/>
      <c r="H34" s="419" t="s">
        <v>206</v>
      </c>
      <c r="I34" s="347"/>
      <c r="J34" s="348"/>
      <c r="K34" s="348"/>
      <c r="L34" s="348"/>
      <c r="M34" s="348"/>
      <c r="N34" s="348"/>
      <c r="O34" s="65">
        <f t="shared" si="206"/>
        <v>0</v>
      </c>
      <c r="P34" s="342">
        <f t="shared" si="5"/>
        <v>0</v>
      </c>
      <c r="Q34" s="342"/>
      <c r="R34" s="342"/>
      <c r="S34" s="342"/>
      <c r="T34" s="65">
        <f t="shared" si="207"/>
        <v>0</v>
      </c>
      <c r="U34" s="66">
        <f t="shared" si="108"/>
        <v>0</v>
      </c>
      <c r="V34" s="66">
        <f t="shared" si="109"/>
        <v>0</v>
      </c>
      <c r="W34" s="349">
        <f t="shared" si="74"/>
        <v>0</v>
      </c>
      <c r="X34" s="350"/>
      <c r="Y34" s="350"/>
      <c r="Z34" s="351"/>
      <c r="AA34" s="66">
        <f t="shared" si="110"/>
        <v>0</v>
      </c>
      <c r="AB34" s="66">
        <f t="shared" si="111"/>
        <v>0</v>
      </c>
      <c r="AC34" s="66">
        <f t="shared" si="112"/>
        <v>0</v>
      </c>
      <c r="AD34" s="66">
        <f t="shared" si="113"/>
        <v>0</v>
      </c>
      <c r="AE34" s="66">
        <f t="shared" si="14"/>
        <v>0</v>
      </c>
      <c r="AF34" s="66">
        <f t="shared" si="15"/>
        <v>0</v>
      </c>
      <c r="AG34" s="66">
        <f t="shared" si="16"/>
        <v>0</v>
      </c>
      <c r="AH34" s="66">
        <f t="shared" si="17"/>
        <v>0</v>
      </c>
      <c r="AI34" s="66">
        <f t="shared" si="18"/>
        <v>0</v>
      </c>
      <c r="AJ34" s="66">
        <f t="shared" si="114"/>
        <v>0</v>
      </c>
      <c r="AK34" s="67">
        <f t="shared" si="115"/>
        <v>0</v>
      </c>
      <c r="AL34" s="67">
        <f t="shared" si="116"/>
        <v>0</v>
      </c>
      <c r="AM34" s="67">
        <f t="shared" si="117"/>
        <v>0</v>
      </c>
      <c r="AN34" s="67">
        <f t="shared" si="23"/>
        <v>0</v>
      </c>
      <c r="AO34" s="66">
        <f t="shared" si="118"/>
        <v>0</v>
      </c>
      <c r="AP34" s="66">
        <f t="shared" si="119"/>
        <v>0</v>
      </c>
      <c r="AQ34" s="66">
        <f t="shared" si="120"/>
        <v>0</v>
      </c>
      <c r="AR34" s="66">
        <f t="shared" si="121"/>
        <v>0</v>
      </c>
      <c r="AS34" s="66">
        <f t="shared" si="122"/>
        <v>0</v>
      </c>
      <c r="AT34" s="66">
        <f t="shared" si="123"/>
        <v>0</v>
      </c>
      <c r="AU34" s="66">
        <f t="shared" si="124"/>
        <v>0</v>
      </c>
      <c r="AV34" s="66">
        <f t="shared" si="125"/>
        <v>0</v>
      </c>
      <c r="AW34" s="66">
        <f t="shared" si="126"/>
        <v>0</v>
      </c>
      <c r="AX34" s="66">
        <f t="shared" si="127"/>
        <v>0</v>
      </c>
      <c r="AY34" s="66">
        <f t="shared" si="128"/>
        <v>0</v>
      </c>
      <c r="AZ34" s="66">
        <f t="shared" si="129"/>
        <v>0</v>
      </c>
      <c r="BA34" s="66">
        <f t="shared" si="130"/>
        <v>0</v>
      </c>
      <c r="BB34" s="66">
        <f t="shared" si="131"/>
        <v>0</v>
      </c>
      <c r="BC34" s="66">
        <f t="shared" si="132"/>
        <v>0</v>
      </c>
      <c r="BD34" s="66">
        <f t="shared" si="133"/>
        <v>0</v>
      </c>
      <c r="BE34" s="66">
        <f t="shared" si="134"/>
        <v>0</v>
      </c>
      <c r="BF34" s="66">
        <f t="shared" si="135"/>
        <v>0</v>
      </c>
      <c r="BG34" s="66">
        <f t="shared" si="136"/>
        <v>0</v>
      </c>
      <c r="BH34" s="66">
        <f t="shared" si="137"/>
        <v>0</v>
      </c>
      <c r="BI34" s="66">
        <f t="shared" si="138"/>
        <v>0</v>
      </c>
      <c r="BJ34" s="68">
        <f t="shared" si="139"/>
        <v>0</v>
      </c>
      <c r="BK34" s="352">
        <v>1</v>
      </c>
      <c r="BL34" s="352">
        <v>12</v>
      </c>
      <c r="BM34" s="263">
        <v>1</v>
      </c>
      <c r="BN34" s="263">
        <v>12</v>
      </c>
      <c r="BO34" s="69">
        <f t="shared" si="140"/>
        <v>42186</v>
      </c>
      <c r="BP34" s="69">
        <f t="shared" si="141"/>
        <v>42552</v>
      </c>
      <c r="BQ34" s="70">
        <f t="shared" si="46"/>
        <v>6.54E-2</v>
      </c>
      <c r="BR34" s="285">
        <f t="shared" si="47"/>
        <v>0.1391</v>
      </c>
      <c r="BS34" s="68">
        <f t="shared" si="142"/>
        <v>0</v>
      </c>
      <c r="BT34" s="68">
        <f t="shared" si="143"/>
        <v>0</v>
      </c>
      <c r="BU34" s="353"/>
      <c r="BV34" s="71" t="e">
        <f t="shared" si="144"/>
        <v>#DIV/0!</v>
      </c>
      <c r="BW34" s="72"/>
      <c r="BX34" s="73" t="e">
        <f t="shared" si="51"/>
        <v>#DIV/0!</v>
      </c>
      <c r="BY34" s="73" t="e">
        <f t="shared" si="52"/>
        <v>#DIV/0!</v>
      </c>
      <c r="BZ34" s="73" t="e">
        <f t="shared" si="53"/>
        <v>#DIV/0!</v>
      </c>
      <c r="CA34" s="73" t="e">
        <f t="shared" si="54"/>
        <v>#DIV/0!</v>
      </c>
      <c r="CB34" s="73" t="e">
        <f t="shared" si="55"/>
        <v>#DIV/0!</v>
      </c>
      <c r="CD34" s="354"/>
      <c r="CE34" s="354"/>
      <c r="CF34" s="354"/>
      <c r="CG34" s="354"/>
      <c r="CH34" s="354"/>
      <c r="CI34" s="354"/>
      <c r="CJ34" s="354"/>
      <c r="CK34" s="354"/>
      <c r="CL34" s="354"/>
      <c r="CM34" s="354"/>
      <c r="CN34" s="354"/>
      <c r="CO34" s="354"/>
      <c r="CP34" s="354"/>
      <c r="CQ34" s="354"/>
      <c r="CR34" s="354"/>
      <c r="CS34" s="354"/>
      <c r="CT34" s="354"/>
      <c r="CU34" s="354"/>
      <c r="CV34" s="354"/>
      <c r="CW34" s="354"/>
      <c r="CX34" s="354"/>
      <c r="CY34" s="354"/>
      <c r="CZ34" s="354"/>
      <c r="DA34" s="354"/>
      <c r="DB34" s="354"/>
      <c r="DC34" s="354"/>
      <c r="DD34" s="95"/>
      <c r="DE34" s="45"/>
      <c r="DF34" s="76"/>
      <c r="DG34" s="77">
        <f t="shared" si="145"/>
        <v>0</v>
      </c>
      <c r="DH34" s="68">
        <f t="shared" si="146"/>
        <v>0</v>
      </c>
      <c r="DI34" s="78"/>
      <c r="DJ34" s="189"/>
      <c r="DL34" s="146">
        <f t="shared" si="58"/>
        <v>0</v>
      </c>
      <c r="DM34" s="146">
        <f t="shared" si="147"/>
        <v>0</v>
      </c>
      <c r="DN34" s="146">
        <f t="shared" si="60"/>
        <v>0</v>
      </c>
      <c r="DO34" s="146">
        <f t="shared" si="61"/>
        <v>0</v>
      </c>
      <c r="DP34" s="146">
        <f t="shared" si="62"/>
        <v>0</v>
      </c>
      <c r="DQ34" s="146">
        <f t="shared" si="63"/>
        <v>0</v>
      </c>
      <c r="DR34" s="146">
        <f t="shared" si="64"/>
        <v>0</v>
      </c>
      <c r="DS34" s="146">
        <f t="shared" si="65"/>
        <v>0</v>
      </c>
      <c r="DT34" s="146">
        <f t="shared" si="66"/>
        <v>0</v>
      </c>
      <c r="DU34" s="146">
        <f t="shared" si="67"/>
        <v>0</v>
      </c>
      <c r="DV34" s="146">
        <f t="shared" si="68"/>
        <v>0</v>
      </c>
      <c r="DW34" s="181">
        <f t="shared" si="69"/>
        <v>0</v>
      </c>
      <c r="DY34" s="183" t="e">
        <f>$CD34*VLOOKUP($G34,'Рецепты а.б.'!$B$5:$AW$50,DY$67,0)</f>
        <v>#N/A</v>
      </c>
      <c r="DZ34" s="75" t="e">
        <f>$CD34*VLOOKUP($G34,'Рецепты а.б.'!$B$5:$AW$50,DZ$67,0)</f>
        <v>#N/A</v>
      </c>
      <c r="EA34" s="75" t="e">
        <f>$CD34*VLOOKUP($G34,'Рецепты а.б.'!$B$5:$AW$50,EA$67,0)</f>
        <v>#N/A</v>
      </c>
      <c r="EB34" s="75" t="e">
        <f>$CD34*VLOOKUP($G34,'Рецепты а.б.'!$B$5:$AW$50,EB$67,0)</f>
        <v>#N/A</v>
      </c>
      <c r="EC34" s="75" t="e">
        <f>$CD34*VLOOKUP($G34,'Рецепты а.б.'!$B$5:$AW$50,EC$67,0)</f>
        <v>#N/A</v>
      </c>
      <c r="ED34" s="75" t="e">
        <f>$CD34*VLOOKUP($G34,'Рецепты а.б.'!$B$5:$AW$50,ED$67,0)</f>
        <v>#N/A</v>
      </c>
      <c r="EE34" s="75" t="e">
        <f>$CD34*VLOOKUP($G34,'Рецепты а.б.'!$B$5:$AW$50,EE$67,0)</f>
        <v>#N/A</v>
      </c>
      <c r="EF34" s="75" t="e">
        <f>$CF34*VLOOKUP($G34,'Рецепты а.б.'!$B$5:$AW$50,EF$67,0)</f>
        <v>#N/A</v>
      </c>
      <c r="EG34" s="75" t="e">
        <f>$CF34*VLOOKUP($G34,'Рецепты а.б.'!$B$5:$AW$50,EG$67,0)</f>
        <v>#N/A</v>
      </c>
      <c r="EH34" s="75" t="e">
        <f>$CF34*VLOOKUP($G34,'Рецепты а.б.'!$B$5:$AW$50,EH$67,0)</f>
        <v>#N/A</v>
      </c>
      <c r="EI34" s="75" t="e">
        <f>$CF34*VLOOKUP($G34,'Рецепты а.б.'!$B$5:$AW$50,EI$67,0)</f>
        <v>#N/A</v>
      </c>
      <c r="EJ34" s="75" t="e">
        <f>$CF34*VLOOKUP($G34,'Рецепты а.б.'!$B$5:$AW$50,EJ$67,0)</f>
        <v>#N/A</v>
      </c>
      <c r="EK34" s="75" t="e">
        <f>$CF34*VLOOKUP($G34,'Рецепты а.б.'!$B$5:$AW$50,EK$67,0)</f>
        <v>#N/A</v>
      </c>
      <c r="EL34" s="75" t="e">
        <f>$CF34*VLOOKUP($G34,'Рецепты а.б.'!$B$5:$AW$50,EL$67,0)</f>
        <v>#N/A</v>
      </c>
      <c r="EM34" s="75" t="e">
        <f>$CG34*VLOOKUP($G34,'Рецепты а.б.'!$B$5:$AW$50,EM$67,0)</f>
        <v>#N/A</v>
      </c>
      <c r="EN34" s="75" t="e">
        <f>$CG34*VLOOKUP($G34,'Рецепты а.б.'!$B$5:$AW$50,EN$67,0)</f>
        <v>#N/A</v>
      </c>
      <c r="EO34" s="75" t="e">
        <f>$CG34*VLOOKUP($G34,'Рецепты а.б.'!$B$5:$AW$50,EO$67,0)</f>
        <v>#N/A</v>
      </c>
      <c r="EP34" s="75" t="e">
        <f>$CG34*VLOOKUP($G34,'Рецепты а.б.'!$B$5:$AW$50,EP$67,0)</f>
        <v>#N/A</v>
      </c>
      <c r="EQ34" s="75" t="e">
        <f>$CG34*VLOOKUP($G34,'Рецепты а.б.'!$B$5:$AW$50,EQ$67,0)</f>
        <v>#N/A</v>
      </c>
      <c r="ER34" s="75" t="e">
        <f>$CG34*VLOOKUP($G34,'Рецепты а.б.'!$B$5:$AW$50,ER$67,0)</f>
        <v>#N/A</v>
      </c>
      <c r="ES34" s="75" t="e">
        <f>$CG34*VLOOKUP($G34,'Рецепты а.б.'!$B$5:$AW$50,ES$67,0)</f>
        <v>#N/A</v>
      </c>
      <c r="ET34" s="75" t="e">
        <f>$CH34*VLOOKUP($G34,'Рецепты а.б.'!$B$5:$AW$50,ET$67,0)</f>
        <v>#N/A</v>
      </c>
      <c r="EU34" s="75" t="e">
        <f>$CH34*VLOOKUP($G34,'Рецепты а.б.'!$B$5:$AW$50,EU$67,0)</f>
        <v>#N/A</v>
      </c>
      <c r="EV34" s="75" t="e">
        <f>$CH34*VLOOKUP($G34,'Рецепты а.б.'!$B$5:$AW$50,EV$67,0)</f>
        <v>#N/A</v>
      </c>
      <c r="EW34" s="75" t="e">
        <f>$CH34*VLOOKUP($G34,'Рецепты а.б.'!$B$5:$AW$50,EW$67,0)</f>
        <v>#N/A</v>
      </c>
      <c r="EX34" s="75" t="e">
        <f>$CH34*VLOOKUP($G34,'Рецепты а.б.'!$B$5:$AW$50,EX$67,0)</f>
        <v>#N/A</v>
      </c>
      <c r="EY34" s="75" t="e">
        <f>$CI34*VLOOKUP($G34,'Рецепты а.б.'!$B$5:$AW$50,EY$67,0)</f>
        <v>#N/A</v>
      </c>
      <c r="EZ34" s="75" t="e">
        <f>$CI34*VLOOKUP($G34,'Рецепты а.б.'!$B$5:$AW$50,EZ$67,0)</f>
        <v>#N/A</v>
      </c>
      <c r="FA34" s="75" t="e">
        <f>$CI34*VLOOKUP($G34,'Рецепты а.б.'!$B$5:$AW$50,FA$67,0)</f>
        <v>#N/A</v>
      </c>
      <c r="FB34" s="75" t="e">
        <f>$CI34*VLOOKUP($G34,'Рецепты а.б.'!$B$5:$AW$50,FB$67,0)</f>
        <v>#N/A</v>
      </c>
      <c r="FC34" s="75" t="e">
        <f>$CI34*VLOOKUP($G34,'Рецепты а.б.'!$B$5:$AW$50,FC$67,0)</f>
        <v>#N/A</v>
      </c>
      <c r="FD34" s="75" t="e">
        <f>$CI34*VLOOKUP($G34,'Рецепты а.б.'!$B$5:$AW$50,FD$67,0)</f>
        <v>#N/A</v>
      </c>
      <c r="FE34" s="75" t="e">
        <f>$CJ34*VLOOKUP($G34,'Рецепты а.б.'!$B$5:$AW$50,FE$67,0)</f>
        <v>#N/A</v>
      </c>
      <c r="FF34" s="75" t="e">
        <f>$CJ34*VLOOKUP($G34,'Рецепты а.б.'!$B$5:$AW$50,FF$67,0)</f>
        <v>#N/A</v>
      </c>
      <c r="FG34" s="75" t="e">
        <f>$CE34*VLOOKUP($G34,'Рецепты а.б.'!$B$5:$AW$50,FG$67,0)</f>
        <v>#N/A</v>
      </c>
      <c r="FH34" s="75" t="e">
        <f>$CE34*VLOOKUP($G34,'Рецепты а.б.'!$B$5:$AW$50,FH$67,0)</f>
        <v>#N/A</v>
      </c>
      <c r="FI34" s="75" t="e">
        <f>$CE34*VLOOKUP($G34,'Рецепты а.б.'!$B$5:$AW$50,FI$67,0)</f>
        <v>#N/A</v>
      </c>
      <c r="FJ34" s="75" t="e">
        <f>$CE34*VLOOKUP($G34,'Рецепты а.б.'!$B$5:$AW$50,FJ$67,0)</f>
        <v>#N/A</v>
      </c>
      <c r="FK34" s="75" t="e">
        <f>$CE34*VLOOKUP($G34,'Рецепты а.б.'!$B$5:$AW$50,FK$67,0)</f>
        <v>#N/A</v>
      </c>
      <c r="FL34" s="75" t="e">
        <f>$CE34*VLOOKUP($G34,'Рецепты а.б.'!$B$5:$AW$50,FL$67,0)</f>
        <v>#N/A</v>
      </c>
      <c r="FM34" s="75" t="e">
        <f>$CE34*VLOOKUP($G34,'Рецепты а.б.'!$B$5:$AW$50,FM$67,0)</f>
        <v>#N/A</v>
      </c>
      <c r="FN34" s="75" t="e">
        <f>$CE34*VLOOKUP($G34,'Рецепты а.б.'!$B$5:$AW$50,FN$67,0)</f>
        <v>#N/A</v>
      </c>
    </row>
    <row r="35" spans="1:170" s="64" customFormat="1" hidden="1" x14ac:dyDescent="0.2">
      <c r="A35" s="127">
        <f t="shared" si="201"/>
        <v>32</v>
      </c>
      <c r="B35" s="344"/>
      <c r="C35" s="344"/>
      <c r="D35" s="344"/>
      <c r="E35" s="420" t="s">
        <v>331</v>
      </c>
      <c r="F35" s="345"/>
      <c r="G35" s="346"/>
      <c r="H35" s="419" t="s">
        <v>206</v>
      </c>
      <c r="I35" s="347"/>
      <c r="J35" s="348"/>
      <c r="K35" s="348"/>
      <c r="L35" s="348"/>
      <c r="M35" s="348"/>
      <c r="N35" s="348"/>
      <c r="O35" s="65">
        <f t="shared" si="206"/>
        <v>0</v>
      </c>
      <c r="P35" s="342">
        <f t="shared" si="5"/>
        <v>0</v>
      </c>
      <c r="Q35" s="342"/>
      <c r="R35" s="342"/>
      <c r="S35" s="342"/>
      <c r="T35" s="65">
        <f t="shared" si="207"/>
        <v>0</v>
      </c>
      <c r="U35" s="66">
        <f t="shared" si="108"/>
        <v>0</v>
      </c>
      <c r="V35" s="66">
        <f t="shared" si="109"/>
        <v>0</v>
      </c>
      <c r="W35" s="349">
        <f t="shared" si="74"/>
        <v>0</v>
      </c>
      <c r="X35" s="350"/>
      <c r="Y35" s="350"/>
      <c r="Z35" s="351"/>
      <c r="AA35" s="66">
        <f t="shared" si="110"/>
        <v>0</v>
      </c>
      <c r="AB35" s="66">
        <f t="shared" si="111"/>
        <v>0</v>
      </c>
      <c r="AC35" s="66">
        <f t="shared" si="112"/>
        <v>0</v>
      </c>
      <c r="AD35" s="66">
        <f t="shared" si="113"/>
        <v>0</v>
      </c>
      <c r="AE35" s="66">
        <f t="shared" si="14"/>
        <v>0</v>
      </c>
      <c r="AF35" s="66">
        <f t="shared" si="15"/>
        <v>0</v>
      </c>
      <c r="AG35" s="66">
        <f t="shared" si="16"/>
        <v>0</v>
      </c>
      <c r="AH35" s="66">
        <f t="shared" si="17"/>
        <v>0</v>
      </c>
      <c r="AI35" s="66">
        <f t="shared" si="18"/>
        <v>0</v>
      </c>
      <c r="AJ35" s="66">
        <f t="shared" si="114"/>
        <v>0</v>
      </c>
      <c r="AK35" s="67">
        <f t="shared" si="115"/>
        <v>0</v>
      </c>
      <c r="AL35" s="67">
        <f t="shared" si="116"/>
        <v>0</v>
      </c>
      <c r="AM35" s="67">
        <f t="shared" si="117"/>
        <v>0</v>
      </c>
      <c r="AN35" s="67">
        <f t="shared" si="23"/>
        <v>0</v>
      </c>
      <c r="AO35" s="66">
        <f t="shared" si="118"/>
        <v>0</v>
      </c>
      <c r="AP35" s="66">
        <f t="shared" si="119"/>
        <v>0</v>
      </c>
      <c r="AQ35" s="66">
        <f t="shared" si="120"/>
        <v>0</v>
      </c>
      <c r="AR35" s="66">
        <f t="shared" si="121"/>
        <v>0</v>
      </c>
      <c r="AS35" s="66">
        <f t="shared" si="122"/>
        <v>0</v>
      </c>
      <c r="AT35" s="66">
        <f t="shared" si="123"/>
        <v>0</v>
      </c>
      <c r="AU35" s="66">
        <f t="shared" si="124"/>
        <v>0</v>
      </c>
      <c r="AV35" s="66">
        <f t="shared" si="125"/>
        <v>0</v>
      </c>
      <c r="AW35" s="66">
        <f t="shared" si="126"/>
        <v>0</v>
      </c>
      <c r="AX35" s="66">
        <f t="shared" si="127"/>
        <v>0</v>
      </c>
      <c r="AY35" s="66">
        <f t="shared" si="128"/>
        <v>0</v>
      </c>
      <c r="AZ35" s="66">
        <f t="shared" si="129"/>
        <v>0</v>
      </c>
      <c r="BA35" s="66">
        <f t="shared" si="130"/>
        <v>0</v>
      </c>
      <c r="BB35" s="66">
        <f t="shared" si="131"/>
        <v>0</v>
      </c>
      <c r="BC35" s="66">
        <f t="shared" si="132"/>
        <v>0</v>
      </c>
      <c r="BD35" s="66">
        <f t="shared" si="133"/>
        <v>0</v>
      </c>
      <c r="BE35" s="66">
        <f t="shared" si="134"/>
        <v>0</v>
      </c>
      <c r="BF35" s="66">
        <f t="shared" si="135"/>
        <v>0</v>
      </c>
      <c r="BG35" s="66">
        <f t="shared" si="136"/>
        <v>0</v>
      </c>
      <c r="BH35" s="66">
        <f t="shared" si="137"/>
        <v>0</v>
      </c>
      <c r="BI35" s="66">
        <f t="shared" si="138"/>
        <v>0</v>
      </c>
      <c r="BJ35" s="68">
        <f t="shared" si="139"/>
        <v>0</v>
      </c>
      <c r="BK35" s="352">
        <v>1</v>
      </c>
      <c r="BL35" s="352">
        <v>12</v>
      </c>
      <c r="BM35" s="263">
        <v>1</v>
      </c>
      <c r="BN35" s="263">
        <v>12</v>
      </c>
      <c r="BO35" s="69">
        <f t="shared" si="140"/>
        <v>42186</v>
      </c>
      <c r="BP35" s="69">
        <f t="shared" si="141"/>
        <v>42552</v>
      </c>
      <c r="BQ35" s="70">
        <f t="shared" si="46"/>
        <v>6.54E-2</v>
      </c>
      <c r="BR35" s="285">
        <f t="shared" si="47"/>
        <v>0.1391</v>
      </c>
      <c r="BS35" s="68">
        <f t="shared" si="142"/>
        <v>0</v>
      </c>
      <c r="BT35" s="68">
        <f t="shared" si="143"/>
        <v>0</v>
      </c>
      <c r="BU35" s="353"/>
      <c r="BV35" s="71" t="e">
        <f t="shared" si="144"/>
        <v>#DIV/0!</v>
      </c>
      <c r="BW35" s="72"/>
      <c r="BX35" s="73" t="e">
        <f t="shared" si="51"/>
        <v>#DIV/0!</v>
      </c>
      <c r="BY35" s="73" t="e">
        <f t="shared" si="52"/>
        <v>#DIV/0!</v>
      </c>
      <c r="BZ35" s="73" t="e">
        <f t="shared" si="53"/>
        <v>#DIV/0!</v>
      </c>
      <c r="CA35" s="73" t="e">
        <f t="shared" si="54"/>
        <v>#DIV/0!</v>
      </c>
      <c r="CB35" s="73" t="e">
        <f t="shared" si="55"/>
        <v>#DIV/0!</v>
      </c>
      <c r="CD35" s="354"/>
      <c r="CE35" s="354"/>
      <c r="CF35" s="354"/>
      <c r="CG35" s="354"/>
      <c r="CH35" s="354"/>
      <c r="CI35" s="354"/>
      <c r="CJ35" s="354"/>
      <c r="CK35" s="354"/>
      <c r="CL35" s="354"/>
      <c r="CM35" s="354"/>
      <c r="CN35" s="354"/>
      <c r="CO35" s="354"/>
      <c r="CP35" s="354"/>
      <c r="CQ35" s="354"/>
      <c r="CR35" s="354"/>
      <c r="CS35" s="354"/>
      <c r="CT35" s="354"/>
      <c r="CU35" s="354"/>
      <c r="CV35" s="354"/>
      <c r="CW35" s="354"/>
      <c r="CX35" s="354"/>
      <c r="CY35" s="354"/>
      <c r="CZ35" s="354"/>
      <c r="DA35" s="354"/>
      <c r="DB35" s="354"/>
      <c r="DC35" s="354"/>
      <c r="DD35" s="95"/>
      <c r="DE35" s="45"/>
      <c r="DF35" s="76"/>
      <c r="DG35" s="77">
        <f t="shared" si="145"/>
        <v>0</v>
      </c>
      <c r="DH35" s="68">
        <f t="shared" si="146"/>
        <v>0</v>
      </c>
      <c r="DI35" s="78"/>
      <c r="DJ35" s="189"/>
      <c r="DL35" s="146">
        <f t="shared" si="58"/>
        <v>0</v>
      </c>
      <c r="DM35" s="146">
        <f t="shared" si="147"/>
        <v>0</v>
      </c>
      <c r="DN35" s="146">
        <f t="shared" si="60"/>
        <v>0</v>
      </c>
      <c r="DO35" s="146">
        <f t="shared" si="61"/>
        <v>0</v>
      </c>
      <c r="DP35" s="146">
        <f t="shared" si="62"/>
        <v>0</v>
      </c>
      <c r="DQ35" s="146">
        <f t="shared" si="63"/>
        <v>0</v>
      </c>
      <c r="DR35" s="146">
        <f t="shared" si="64"/>
        <v>0</v>
      </c>
      <c r="DS35" s="146">
        <f t="shared" si="65"/>
        <v>0</v>
      </c>
      <c r="DT35" s="146">
        <f t="shared" si="66"/>
        <v>0</v>
      </c>
      <c r="DU35" s="146">
        <f t="shared" si="67"/>
        <v>0</v>
      </c>
      <c r="DV35" s="146">
        <f t="shared" si="68"/>
        <v>0</v>
      </c>
      <c r="DW35" s="181">
        <f t="shared" si="69"/>
        <v>0</v>
      </c>
      <c r="DY35" s="183" t="e">
        <f>$CD35*VLOOKUP($G35,'Рецепты а.б.'!$B$5:$AW$50,DY$67,0)</f>
        <v>#N/A</v>
      </c>
      <c r="DZ35" s="75" t="e">
        <f>$CD35*VLOOKUP($G35,'Рецепты а.б.'!$B$5:$AW$50,DZ$67,0)</f>
        <v>#N/A</v>
      </c>
      <c r="EA35" s="75" t="e">
        <f>$CD35*VLOOKUP($G35,'Рецепты а.б.'!$B$5:$AW$50,EA$67,0)</f>
        <v>#N/A</v>
      </c>
      <c r="EB35" s="75" t="e">
        <f>$CD35*VLOOKUP($G35,'Рецепты а.б.'!$B$5:$AW$50,EB$67,0)</f>
        <v>#N/A</v>
      </c>
      <c r="EC35" s="75" t="e">
        <f>$CD35*VLOOKUP($G35,'Рецепты а.б.'!$B$5:$AW$50,EC$67,0)</f>
        <v>#N/A</v>
      </c>
      <c r="ED35" s="75" t="e">
        <f>$CD35*VLOOKUP($G35,'Рецепты а.б.'!$B$5:$AW$50,ED$67,0)</f>
        <v>#N/A</v>
      </c>
      <c r="EE35" s="75" t="e">
        <f>$CD35*VLOOKUP($G35,'Рецепты а.б.'!$B$5:$AW$50,EE$67,0)</f>
        <v>#N/A</v>
      </c>
      <c r="EF35" s="75" t="e">
        <f>$CF35*VLOOKUP($G35,'Рецепты а.б.'!$B$5:$AW$50,EF$67,0)</f>
        <v>#N/A</v>
      </c>
      <c r="EG35" s="75" t="e">
        <f>$CF35*VLOOKUP($G35,'Рецепты а.б.'!$B$5:$AW$50,EG$67,0)</f>
        <v>#N/A</v>
      </c>
      <c r="EH35" s="75" t="e">
        <f>$CF35*VLOOKUP($G35,'Рецепты а.б.'!$B$5:$AW$50,EH$67,0)</f>
        <v>#N/A</v>
      </c>
      <c r="EI35" s="75" t="e">
        <f>$CF35*VLOOKUP($G35,'Рецепты а.б.'!$B$5:$AW$50,EI$67,0)</f>
        <v>#N/A</v>
      </c>
      <c r="EJ35" s="75" t="e">
        <f>$CF35*VLOOKUP($G35,'Рецепты а.б.'!$B$5:$AW$50,EJ$67,0)</f>
        <v>#N/A</v>
      </c>
      <c r="EK35" s="75" t="e">
        <f>$CF35*VLOOKUP($G35,'Рецепты а.б.'!$B$5:$AW$50,EK$67,0)</f>
        <v>#N/A</v>
      </c>
      <c r="EL35" s="75" t="e">
        <f>$CF35*VLOOKUP($G35,'Рецепты а.б.'!$B$5:$AW$50,EL$67,0)</f>
        <v>#N/A</v>
      </c>
      <c r="EM35" s="75" t="e">
        <f>$CG35*VLOOKUP($G35,'Рецепты а.б.'!$B$5:$AW$50,EM$67,0)</f>
        <v>#N/A</v>
      </c>
      <c r="EN35" s="75" t="e">
        <f>$CG35*VLOOKUP($G35,'Рецепты а.б.'!$B$5:$AW$50,EN$67,0)</f>
        <v>#N/A</v>
      </c>
      <c r="EO35" s="75" t="e">
        <f>$CG35*VLOOKUP($G35,'Рецепты а.б.'!$B$5:$AW$50,EO$67,0)</f>
        <v>#N/A</v>
      </c>
      <c r="EP35" s="75" t="e">
        <f>$CG35*VLOOKUP($G35,'Рецепты а.б.'!$B$5:$AW$50,EP$67,0)</f>
        <v>#N/A</v>
      </c>
      <c r="EQ35" s="75" t="e">
        <f>$CG35*VLOOKUP($G35,'Рецепты а.б.'!$B$5:$AW$50,EQ$67,0)</f>
        <v>#N/A</v>
      </c>
      <c r="ER35" s="75" t="e">
        <f>$CG35*VLOOKUP($G35,'Рецепты а.б.'!$B$5:$AW$50,ER$67,0)</f>
        <v>#N/A</v>
      </c>
      <c r="ES35" s="75" t="e">
        <f>$CG35*VLOOKUP($G35,'Рецепты а.б.'!$B$5:$AW$50,ES$67,0)</f>
        <v>#N/A</v>
      </c>
      <c r="ET35" s="75" t="e">
        <f>$CH35*VLOOKUP($G35,'Рецепты а.б.'!$B$5:$AW$50,ET$67,0)</f>
        <v>#N/A</v>
      </c>
      <c r="EU35" s="75" t="e">
        <f>$CH35*VLOOKUP($G35,'Рецепты а.б.'!$B$5:$AW$50,EU$67,0)</f>
        <v>#N/A</v>
      </c>
      <c r="EV35" s="75" t="e">
        <f>$CH35*VLOOKUP($G35,'Рецепты а.б.'!$B$5:$AW$50,EV$67,0)</f>
        <v>#N/A</v>
      </c>
      <c r="EW35" s="75" t="e">
        <f>$CH35*VLOOKUP($G35,'Рецепты а.б.'!$B$5:$AW$50,EW$67,0)</f>
        <v>#N/A</v>
      </c>
      <c r="EX35" s="75" t="e">
        <f>$CH35*VLOOKUP($G35,'Рецепты а.б.'!$B$5:$AW$50,EX$67,0)</f>
        <v>#N/A</v>
      </c>
      <c r="EY35" s="75" t="e">
        <f>$CI35*VLOOKUP($G35,'Рецепты а.б.'!$B$5:$AW$50,EY$67,0)</f>
        <v>#N/A</v>
      </c>
      <c r="EZ35" s="75" t="e">
        <f>$CI35*VLOOKUP($G35,'Рецепты а.б.'!$B$5:$AW$50,EZ$67,0)</f>
        <v>#N/A</v>
      </c>
      <c r="FA35" s="75" t="e">
        <f>$CI35*VLOOKUP($G35,'Рецепты а.б.'!$B$5:$AW$50,FA$67,0)</f>
        <v>#N/A</v>
      </c>
      <c r="FB35" s="75" t="e">
        <f>$CI35*VLOOKUP($G35,'Рецепты а.б.'!$B$5:$AW$50,FB$67,0)</f>
        <v>#N/A</v>
      </c>
      <c r="FC35" s="75" t="e">
        <f>$CI35*VLOOKUP($G35,'Рецепты а.б.'!$B$5:$AW$50,FC$67,0)</f>
        <v>#N/A</v>
      </c>
      <c r="FD35" s="75" t="e">
        <f>$CI35*VLOOKUP($G35,'Рецепты а.б.'!$B$5:$AW$50,FD$67,0)</f>
        <v>#N/A</v>
      </c>
      <c r="FE35" s="75" t="e">
        <f>$CJ35*VLOOKUP($G35,'Рецепты а.б.'!$B$5:$AW$50,FE$67,0)</f>
        <v>#N/A</v>
      </c>
      <c r="FF35" s="75" t="e">
        <f>$CJ35*VLOOKUP($G35,'Рецепты а.б.'!$B$5:$AW$50,FF$67,0)</f>
        <v>#N/A</v>
      </c>
      <c r="FG35" s="75" t="e">
        <f>$CE35*VLOOKUP($G35,'Рецепты а.б.'!$B$5:$AW$50,FG$67,0)</f>
        <v>#N/A</v>
      </c>
      <c r="FH35" s="75" t="e">
        <f>$CE35*VLOOKUP($G35,'Рецепты а.б.'!$B$5:$AW$50,FH$67,0)</f>
        <v>#N/A</v>
      </c>
      <c r="FI35" s="75" t="e">
        <f>$CE35*VLOOKUP($G35,'Рецепты а.б.'!$B$5:$AW$50,FI$67,0)</f>
        <v>#N/A</v>
      </c>
      <c r="FJ35" s="75" t="e">
        <f>$CE35*VLOOKUP($G35,'Рецепты а.б.'!$B$5:$AW$50,FJ$67,0)</f>
        <v>#N/A</v>
      </c>
      <c r="FK35" s="75" t="e">
        <f>$CE35*VLOOKUP($G35,'Рецепты а.б.'!$B$5:$AW$50,FK$67,0)</f>
        <v>#N/A</v>
      </c>
      <c r="FL35" s="75" t="e">
        <f>$CE35*VLOOKUP($G35,'Рецепты а.б.'!$B$5:$AW$50,FL$67,0)</f>
        <v>#N/A</v>
      </c>
      <c r="FM35" s="75" t="e">
        <f>$CE35*VLOOKUP($G35,'Рецепты а.б.'!$B$5:$AW$50,FM$67,0)</f>
        <v>#N/A</v>
      </c>
      <c r="FN35" s="75" t="e">
        <f>$CE35*VLOOKUP($G35,'Рецепты а.б.'!$B$5:$AW$50,FN$67,0)</f>
        <v>#N/A</v>
      </c>
    </row>
    <row r="36" spans="1:170" s="64" customFormat="1" hidden="1" x14ac:dyDescent="0.2">
      <c r="A36" s="127">
        <f t="shared" si="201"/>
        <v>33</v>
      </c>
      <c r="B36" s="344"/>
      <c r="C36" s="344"/>
      <c r="D36" s="344"/>
      <c r="E36" s="420" t="s">
        <v>331</v>
      </c>
      <c r="F36" s="345"/>
      <c r="G36" s="346"/>
      <c r="H36" s="419" t="s">
        <v>206</v>
      </c>
      <c r="I36" s="347"/>
      <c r="J36" s="348"/>
      <c r="K36" s="348"/>
      <c r="L36" s="348"/>
      <c r="M36" s="348"/>
      <c r="N36" s="348"/>
      <c r="O36" s="65">
        <f t="shared" si="206"/>
        <v>0</v>
      </c>
      <c r="P36" s="342">
        <f t="shared" si="5"/>
        <v>0</v>
      </c>
      <c r="Q36" s="342"/>
      <c r="R36" s="342"/>
      <c r="S36" s="342"/>
      <c r="T36" s="65">
        <f t="shared" si="207"/>
        <v>0</v>
      </c>
      <c r="U36" s="66">
        <f t="shared" si="108"/>
        <v>0</v>
      </c>
      <c r="V36" s="66">
        <f t="shared" si="109"/>
        <v>0</v>
      </c>
      <c r="W36" s="349">
        <f t="shared" si="74"/>
        <v>0</v>
      </c>
      <c r="X36" s="350"/>
      <c r="Y36" s="350"/>
      <c r="Z36" s="351"/>
      <c r="AA36" s="66">
        <f t="shared" si="110"/>
        <v>0</v>
      </c>
      <c r="AB36" s="66">
        <f t="shared" si="111"/>
        <v>0</v>
      </c>
      <c r="AC36" s="66">
        <f t="shared" si="112"/>
        <v>0</v>
      </c>
      <c r="AD36" s="66">
        <f t="shared" si="113"/>
        <v>0</v>
      </c>
      <c r="AE36" s="66">
        <f t="shared" si="14"/>
        <v>0</v>
      </c>
      <c r="AF36" s="66">
        <f t="shared" ref="AF36:AF53" si="208">P36+U36+X36+AA36</f>
        <v>0</v>
      </c>
      <c r="AG36" s="66">
        <f t="shared" ref="AG36:AG53" si="209">Q36+V36+Y36+AB36</f>
        <v>0</v>
      </c>
      <c r="AH36" s="66">
        <f t="shared" ref="AH36:AH53" si="210">R36+AC36</f>
        <v>0</v>
      </c>
      <c r="AI36" s="66">
        <f t="shared" ref="AI36:AI53" si="211">S36+W36+Z36+AD36</f>
        <v>0</v>
      </c>
      <c r="AJ36" s="66">
        <f t="shared" si="114"/>
        <v>0</v>
      </c>
      <c r="AK36" s="67">
        <f t="shared" si="115"/>
        <v>0</v>
      </c>
      <c r="AL36" s="67">
        <f t="shared" si="116"/>
        <v>0</v>
      </c>
      <c r="AM36" s="67">
        <f t="shared" si="117"/>
        <v>0</v>
      </c>
      <c r="AN36" s="67">
        <f t="shared" ref="AN36:AN53" si="212">IF(F36="да",ROUND(W36/(P36+Q36+U36+V36)*(AK36/(1+X36/(P36+U36))+(AL36/(1+Y36/(Q36+V36))))+S36*(1+VLOOKUP(H36,рем_содер,8,0)),0),AI36)</f>
        <v>0</v>
      </c>
      <c r="AO36" s="66">
        <f t="shared" si="118"/>
        <v>0</v>
      </c>
      <c r="AP36" s="66">
        <f t="shared" si="119"/>
        <v>0</v>
      </c>
      <c r="AQ36" s="66">
        <f t="shared" si="120"/>
        <v>0</v>
      </c>
      <c r="AR36" s="66">
        <f t="shared" si="121"/>
        <v>0</v>
      </c>
      <c r="AS36" s="66">
        <f t="shared" si="122"/>
        <v>0</v>
      </c>
      <c r="AT36" s="66">
        <f t="shared" si="123"/>
        <v>0</v>
      </c>
      <c r="AU36" s="66">
        <f t="shared" si="124"/>
        <v>0</v>
      </c>
      <c r="AV36" s="66">
        <f t="shared" si="125"/>
        <v>0</v>
      </c>
      <c r="AW36" s="66">
        <f t="shared" si="126"/>
        <v>0</v>
      </c>
      <c r="AX36" s="66">
        <f t="shared" si="127"/>
        <v>0</v>
      </c>
      <c r="AY36" s="66">
        <f t="shared" si="128"/>
        <v>0</v>
      </c>
      <c r="AZ36" s="66">
        <f t="shared" si="129"/>
        <v>0</v>
      </c>
      <c r="BA36" s="66">
        <f t="shared" si="130"/>
        <v>0</v>
      </c>
      <c r="BB36" s="66">
        <f t="shared" si="131"/>
        <v>0</v>
      </c>
      <c r="BC36" s="66">
        <f t="shared" si="132"/>
        <v>0</v>
      </c>
      <c r="BD36" s="66">
        <f t="shared" si="133"/>
        <v>0</v>
      </c>
      <c r="BE36" s="66">
        <f t="shared" si="134"/>
        <v>0</v>
      </c>
      <c r="BF36" s="66">
        <f t="shared" si="135"/>
        <v>0</v>
      </c>
      <c r="BG36" s="66">
        <f t="shared" si="136"/>
        <v>0</v>
      </c>
      <c r="BH36" s="66">
        <f t="shared" si="137"/>
        <v>0</v>
      </c>
      <c r="BI36" s="66">
        <f t="shared" si="138"/>
        <v>0</v>
      </c>
      <c r="BJ36" s="68">
        <f t="shared" si="139"/>
        <v>0</v>
      </c>
      <c r="BK36" s="352">
        <v>1</v>
      </c>
      <c r="BL36" s="352">
        <v>12</v>
      </c>
      <c r="BM36" s="263">
        <v>1</v>
      </c>
      <c r="BN36" s="263">
        <v>12</v>
      </c>
      <c r="BO36" s="69">
        <f t="shared" si="140"/>
        <v>42186</v>
      </c>
      <c r="BP36" s="69">
        <f t="shared" si="141"/>
        <v>42552</v>
      </c>
      <c r="BQ36" s="70">
        <f t="shared" ref="BQ36:BQ53" si="213">ROUND((IF(VLOOKUP(H36,рем_содер,3,0)=2,(1+VLOOKUP(BO36,рем2015,2,0))*(1+VLOOKUP(E36,инф,2,0)),(1+VLOOKUP(BO36,сод2015,2,0))*(1+VLOOKUP(E36,инф,3,0)))-1)-IF(VLOOKUP(H36,рем_содер,3,0)=2,VLOOKUP(E36,инф,4,0),VLOOKUP(E36,инф,5,0)),4)</f>
        <v>6.54E-2</v>
      </c>
      <c r="BR36" s="285">
        <f t="shared" ref="BR36:BR53" si="214">ROUND(IF(VLOOKUP(H36,рем_содер,3,0)=2,(1+VLOOKUP(BP36,рем2016,2,0))*(1+VLOOKUP(E36,инф,6,0))*(1+VLOOKUP(E36,инф,2,0)),(1+VLOOKUP(BP36,сод2016,2,0))*(1+VLOOKUP(E36,инф,7,0))*(1+VLOOKUP(E36,инф,3,0)))-1,4)</f>
        <v>0.1391</v>
      </c>
      <c r="BS36" s="68">
        <f t="shared" si="142"/>
        <v>0</v>
      </c>
      <c r="BT36" s="68">
        <f t="shared" si="143"/>
        <v>0</v>
      </c>
      <c r="BU36" s="353"/>
      <c r="BV36" s="71" t="e">
        <f t="shared" si="144"/>
        <v>#DIV/0!</v>
      </c>
      <c r="BW36" s="72"/>
      <c r="BX36" s="73" t="e">
        <f t="shared" ref="BX36:BX53" si="215">J36/$BJ36</f>
        <v>#DIV/0!</v>
      </c>
      <c r="BY36" s="73" t="e">
        <f t="shared" ref="BY36:BY53" si="216">K36/$BJ36</f>
        <v>#DIV/0!</v>
      </c>
      <c r="BZ36" s="73" t="e">
        <f t="shared" ref="BZ36:BZ53" si="217">L36/$BJ36</f>
        <v>#DIV/0!</v>
      </c>
      <c r="CA36" s="73" t="e">
        <f t="shared" ref="CA36:CA53" si="218">M36/$BJ36</f>
        <v>#DIV/0!</v>
      </c>
      <c r="CB36" s="73" t="e">
        <f t="shared" ref="CB36:CB53" si="219">N36/$BJ36</f>
        <v>#DIV/0!</v>
      </c>
      <c r="CD36" s="354"/>
      <c r="CE36" s="354"/>
      <c r="CF36" s="354"/>
      <c r="CG36" s="354"/>
      <c r="CH36" s="354"/>
      <c r="CI36" s="354"/>
      <c r="CJ36" s="354"/>
      <c r="CK36" s="354"/>
      <c r="CL36" s="354"/>
      <c r="CM36" s="354"/>
      <c r="CN36" s="354"/>
      <c r="CO36" s="354"/>
      <c r="CP36" s="354"/>
      <c r="CQ36" s="354"/>
      <c r="CR36" s="354"/>
      <c r="CS36" s="354"/>
      <c r="CT36" s="354"/>
      <c r="CU36" s="354"/>
      <c r="CV36" s="354"/>
      <c r="CW36" s="354"/>
      <c r="CX36" s="354"/>
      <c r="CY36" s="354"/>
      <c r="CZ36" s="354"/>
      <c r="DA36" s="354"/>
      <c r="DB36" s="354"/>
      <c r="DC36" s="354"/>
      <c r="DD36" s="95"/>
      <c r="DE36" s="45"/>
      <c r="DF36" s="76"/>
      <c r="DG36" s="77">
        <f t="shared" si="145"/>
        <v>0</v>
      </c>
      <c r="DH36" s="68">
        <f t="shared" si="146"/>
        <v>0</v>
      </c>
      <c r="DI36" s="78"/>
      <c r="DJ36" s="189"/>
      <c r="DL36" s="146">
        <f t="shared" ref="DL36:DL53" si="220">IF(G36=0,0,CN36+EE36+EL36+ES36+EX36+FD36+FF36+FN36)</f>
        <v>0</v>
      </c>
      <c r="DM36" s="146">
        <f t="shared" si="147"/>
        <v>0</v>
      </c>
      <c r="DN36" s="146">
        <f t="shared" ref="DN36:DN53" si="221">IF(G36=0,0,CQ36+EC36+EJ36+ER36+FL36)</f>
        <v>0</v>
      </c>
      <c r="DO36" s="146">
        <f t="shared" ref="DO36:DO53" si="222">IF(G36=0,0,CR36+EB36+EI36+EQ36+EU36+FA36+FK36)</f>
        <v>0</v>
      </c>
      <c r="DP36" s="146">
        <f t="shared" ref="DP36:DP53" si="223">IF(G36=0,0,CS36+DY36+EF36+EO36+ET36+EZ36+FE36+FH36)</f>
        <v>0</v>
      </c>
      <c r="DQ36" s="146">
        <f t="shared" ref="DQ36:DQ53" si="224">IF(G36=0,0,CU36+EN36+FG36)</f>
        <v>0</v>
      </c>
      <c r="DR36" s="146">
        <f t="shared" ref="DR36:DR53" si="225">IF(G36=0,0,CV36+DZ36+EG36+EP36+EY36+FI36)</f>
        <v>0</v>
      </c>
      <c r="DS36" s="146">
        <f t="shared" ref="DS36:DS53" si="226">IF(G36=0,0,EA36+EH36+FJ36)</f>
        <v>0</v>
      </c>
      <c r="DT36" s="146">
        <f t="shared" ref="DT36:DT53" si="227">IF(G36=0,0,CW36+EM36)</f>
        <v>0</v>
      </c>
      <c r="DU36" s="146">
        <f t="shared" ref="DU36:DU53" si="228">IF(G36=0,0,ED36+EK36+EW36+FC36+FM36)</f>
        <v>0</v>
      </c>
      <c r="DV36" s="146">
        <f t="shared" ref="DV36:DV53" si="229">IF(G36=0,0,EV36)</f>
        <v>0</v>
      </c>
      <c r="DW36" s="181">
        <f t="shared" ref="DW36:DW53" si="230">IF(G36=0,0,FB36)</f>
        <v>0</v>
      </c>
      <c r="DY36" s="183" t="e">
        <f>$CD36*VLOOKUP($G36,'Рецепты а.б.'!$B$5:$AW$50,DY$67,0)</f>
        <v>#N/A</v>
      </c>
      <c r="DZ36" s="75" t="e">
        <f>$CD36*VLOOKUP($G36,'Рецепты а.б.'!$B$5:$AW$50,DZ$67,0)</f>
        <v>#N/A</v>
      </c>
      <c r="EA36" s="75" t="e">
        <f>$CD36*VLOOKUP($G36,'Рецепты а.б.'!$B$5:$AW$50,EA$67,0)</f>
        <v>#N/A</v>
      </c>
      <c r="EB36" s="75" t="e">
        <f>$CD36*VLOOKUP($G36,'Рецепты а.б.'!$B$5:$AW$50,EB$67,0)</f>
        <v>#N/A</v>
      </c>
      <c r="EC36" s="75" t="e">
        <f>$CD36*VLOOKUP($G36,'Рецепты а.б.'!$B$5:$AW$50,EC$67,0)</f>
        <v>#N/A</v>
      </c>
      <c r="ED36" s="75" t="e">
        <f>$CD36*VLOOKUP($G36,'Рецепты а.б.'!$B$5:$AW$50,ED$67,0)</f>
        <v>#N/A</v>
      </c>
      <c r="EE36" s="75" t="e">
        <f>$CD36*VLOOKUP($G36,'Рецепты а.б.'!$B$5:$AW$50,EE$67,0)</f>
        <v>#N/A</v>
      </c>
      <c r="EF36" s="75" t="e">
        <f>$CF36*VLOOKUP($G36,'Рецепты а.б.'!$B$5:$AW$50,EF$67,0)</f>
        <v>#N/A</v>
      </c>
      <c r="EG36" s="75" t="e">
        <f>$CF36*VLOOKUP($G36,'Рецепты а.б.'!$B$5:$AW$50,EG$67,0)</f>
        <v>#N/A</v>
      </c>
      <c r="EH36" s="75" t="e">
        <f>$CF36*VLOOKUP($G36,'Рецепты а.б.'!$B$5:$AW$50,EH$67,0)</f>
        <v>#N/A</v>
      </c>
      <c r="EI36" s="75" t="e">
        <f>$CF36*VLOOKUP($G36,'Рецепты а.б.'!$B$5:$AW$50,EI$67,0)</f>
        <v>#N/A</v>
      </c>
      <c r="EJ36" s="75" t="e">
        <f>$CF36*VLOOKUP($G36,'Рецепты а.б.'!$B$5:$AW$50,EJ$67,0)</f>
        <v>#N/A</v>
      </c>
      <c r="EK36" s="75" t="e">
        <f>$CF36*VLOOKUP($G36,'Рецепты а.б.'!$B$5:$AW$50,EK$67,0)</f>
        <v>#N/A</v>
      </c>
      <c r="EL36" s="75" t="e">
        <f>$CF36*VLOOKUP($G36,'Рецепты а.б.'!$B$5:$AW$50,EL$67,0)</f>
        <v>#N/A</v>
      </c>
      <c r="EM36" s="75" t="e">
        <f>$CG36*VLOOKUP($G36,'Рецепты а.б.'!$B$5:$AW$50,EM$67,0)</f>
        <v>#N/A</v>
      </c>
      <c r="EN36" s="75" t="e">
        <f>$CG36*VLOOKUP($G36,'Рецепты а.б.'!$B$5:$AW$50,EN$67,0)</f>
        <v>#N/A</v>
      </c>
      <c r="EO36" s="75" t="e">
        <f>$CG36*VLOOKUP($G36,'Рецепты а.б.'!$B$5:$AW$50,EO$67,0)</f>
        <v>#N/A</v>
      </c>
      <c r="EP36" s="75" t="e">
        <f>$CG36*VLOOKUP($G36,'Рецепты а.б.'!$B$5:$AW$50,EP$67,0)</f>
        <v>#N/A</v>
      </c>
      <c r="EQ36" s="75" t="e">
        <f>$CG36*VLOOKUP($G36,'Рецепты а.б.'!$B$5:$AW$50,EQ$67,0)</f>
        <v>#N/A</v>
      </c>
      <c r="ER36" s="75" t="e">
        <f>$CG36*VLOOKUP($G36,'Рецепты а.б.'!$B$5:$AW$50,ER$67,0)</f>
        <v>#N/A</v>
      </c>
      <c r="ES36" s="75" t="e">
        <f>$CG36*VLOOKUP($G36,'Рецепты а.б.'!$B$5:$AW$50,ES$67,0)</f>
        <v>#N/A</v>
      </c>
      <c r="ET36" s="75" t="e">
        <f>$CH36*VLOOKUP($G36,'Рецепты а.б.'!$B$5:$AW$50,ET$67,0)</f>
        <v>#N/A</v>
      </c>
      <c r="EU36" s="75" t="e">
        <f>$CH36*VLOOKUP($G36,'Рецепты а.б.'!$B$5:$AW$50,EU$67,0)</f>
        <v>#N/A</v>
      </c>
      <c r="EV36" s="75" t="e">
        <f>$CH36*VLOOKUP($G36,'Рецепты а.б.'!$B$5:$AW$50,EV$67,0)</f>
        <v>#N/A</v>
      </c>
      <c r="EW36" s="75" t="e">
        <f>$CH36*VLOOKUP($G36,'Рецепты а.б.'!$B$5:$AW$50,EW$67,0)</f>
        <v>#N/A</v>
      </c>
      <c r="EX36" s="75" t="e">
        <f>$CH36*VLOOKUP($G36,'Рецепты а.б.'!$B$5:$AW$50,EX$67,0)</f>
        <v>#N/A</v>
      </c>
      <c r="EY36" s="75" t="e">
        <f>$CI36*VLOOKUP($G36,'Рецепты а.б.'!$B$5:$AW$50,EY$67,0)</f>
        <v>#N/A</v>
      </c>
      <c r="EZ36" s="75" t="e">
        <f>$CI36*VLOOKUP($G36,'Рецепты а.б.'!$B$5:$AW$50,EZ$67,0)</f>
        <v>#N/A</v>
      </c>
      <c r="FA36" s="75" t="e">
        <f>$CI36*VLOOKUP($G36,'Рецепты а.б.'!$B$5:$AW$50,FA$67,0)</f>
        <v>#N/A</v>
      </c>
      <c r="FB36" s="75" t="e">
        <f>$CI36*VLOOKUP($G36,'Рецепты а.б.'!$B$5:$AW$50,FB$67,0)</f>
        <v>#N/A</v>
      </c>
      <c r="FC36" s="75" t="e">
        <f>$CI36*VLOOKUP($G36,'Рецепты а.б.'!$B$5:$AW$50,FC$67,0)</f>
        <v>#N/A</v>
      </c>
      <c r="FD36" s="75" t="e">
        <f>$CI36*VLOOKUP($G36,'Рецепты а.б.'!$B$5:$AW$50,FD$67,0)</f>
        <v>#N/A</v>
      </c>
      <c r="FE36" s="75" t="e">
        <f>$CJ36*VLOOKUP($G36,'Рецепты а.б.'!$B$5:$AW$50,FE$67,0)</f>
        <v>#N/A</v>
      </c>
      <c r="FF36" s="75" t="e">
        <f>$CJ36*VLOOKUP($G36,'Рецепты а.б.'!$B$5:$AW$50,FF$67,0)</f>
        <v>#N/A</v>
      </c>
      <c r="FG36" s="75" t="e">
        <f>$CE36*VLOOKUP($G36,'Рецепты а.б.'!$B$5:$AW$50,FG$67,0)</f>
        <v>#N/A</v>
      </c>
      <c r="FH36" s="75" t="e">
        <f>$CE36*VLOOKUP($G36,'Рецепты а.б.'!$B$5:$AW$50,FH$67,0)</f>
        <v>#N/A</v>
      </c>
      <c r="FI36" s="75" t="e">
        <f>$CE36*VLOOKUP($G36,'Рецепты а.б.'!$B$5:$AW$50,FI$67,0)</f>
        <v>#N/A</v>
      </c>
      <c r="FJ36" s="75" t="e">
        <f>$CE36*VLOOKUP($G36,'Рецепты а.б.'!$B$5:$AW$50,FJ$67,0)</f>
        <v>#N/A</v>
      </c>
      <c r="FK36" s="75" t="e">
        <f>$CE36*VLOOKUP($G36,'Рецепты а.б.'!$B$5:$AW$50,FK$67,0)</f>
        <v>#N/A</v>
      </c>
      <c r="FL36" s="75" t="e">
        <f>$CE36*VLOOKUP($G36,'Рецепты а.б.'!$B$5:$AW$50,FL$67,0)</f>
        <v>#N/A</v>
      </c>
      <c r="FM36" s="75" t="e">
        <f>$CE36*VLOOKUP($G36,'Рецепты а.б.'!$B$5:$AW$50,FM$67,0)</f>
        <v>#N/A</v>
      </c>
      <c r="FN36" s="75" t="e">
        <f>$CE36*VLOOKUP($G36,'Рецепты а.б.'!$B$5:$AW$50,FN$67,0)</f>
        <v>#N/A</v>
      </c>
    </row>
    <row r="37" spans="1:170" s="64" customFormat="1" hidden="1" x14ac:dyDescent="0.2">
      <c r="A37" s="127">
        <f t="shared" si="201"/>
        <v>34</v>
      </c>
      <c r="B37" s="344"/>
      <c r="C37" s="344"/>
      <c r="D37" s="344"/>
      <c r="E37" s="420" t="s">
        <v>331</v>
      </c>
      <c r="F37" s="345"/>
      <c r="G37" s="346"/>
      <c r="H37" s="419" t="s">
        <v>206</v>
      </c>
      <c r="I37" s="347"/>
      <c r="J37" s="348"/>
      <c r="K37" s="348"/>
      <c r="L37" s="348"/>
      <c r="M37" s="348"/>
      <c r="N37" s="348"/>
      <c r="O37" s="65">
        <f t="shared" si="206"/>
        <v>0</v>
      </c>
      <c r="P37" s="342">
        <f t="shared" si="5"/>
        <v>0</v>
      </c>
      <c r="Q37" s="342"/>
      <c r="R37" s="342"/>
      <c r="S37" s="342"/>
      <c r="T37" s="65">
        <f t="shared" si="207"/>
        <v>0</v>
      </c>
      <c r="U37" s="66">
        <f t="shared" si="108"/>
        <v>0</v>
      </c>
      <c r="V37" s="66">
        <f t="shared" si="109"/>
        <v>0</v>
      </c>
      <c r="W37" s="349">
        <f t="shared" si="74"/>
        <v>0</v>
      </c>
      <c r="X37" s="350"/>
      <c r="Y37" s="350"/>
      <c r="Z37" s="351"/>
      <c r="AA37" s="66">
        <f t="shared" si="110"/>
        <v>0</v>
      </c>
      <c r="AB37" s="66">
        <f t="shared" si="111"/>
        <v>0</v>
      </c>
      <c r="AC37" s="66">
        <f t="shared" si="112"/>
        <v>0</v>
      </c>
      <c r="AD37" s="66">
        <f t="shared" si="113"/>
        <v>0</v>
      </c>
      <c r="AE37" s="66">
        <f t="shared" si="14"/>
        <v>0</v>
      </c>
      <c r="AF37" s="66">
        <f t="shared" si="208"/>
        <v>0</v>
      </c>
      <c r="AG37" s="66">
        <f t="shared" si="209"/>
        <v>0</v>
      </c>
      <c r="AH37" s="66">
        <f t="shared" si="210"/>
        <v>0</v>
      </c>
      <c r="AI37" s="66">
        <f t="shared" si="211"/>
        <v>0</v>
      </c>
      <c r="AJ37" s="66">
        <f t="shared" si="114"/>
        <v>0</v>
      </c>
      <c r="AK37" s="67">
        <f t="shared" si="115"/>
        <v>0</v>
      </c>
      <c r="AL37" s="67">
        <f t="shared" si="116"/>
        <v>0</v>
      </c>
      <c r="AM37" s="67">
        <f t="shared" si="117"/>
        <v>0</v>
      </c>
      <c r="AN37" s="67">
        <f t="shared" si="212"/>
        <v>0</v>
      </c>
      <c r="AO37" s="66">
        <f t="shared" si="118"/>
        <v>0</v>
      </c>
      <c r="AP37" s="66">
        <f t="shared" si="119"/>
        <v>0</v>
      </c>
      <c r="AQ37" s="66">
        <f t="shared" si="120"/>
        <v>0</v>
      </c>
      <c r="AR37" s="66">
        <f t="shared" si="121"/>
        <v>0</v>
      </c>
      <c r="AS37" s="66">
        <f t="shared" si="122"/>
        <v>0</v>
      </c>
      <c r="AT37" s="66">
        <f t="shared" si="123"/>
        <v>0</v>
      </c>
      <c r="AU37" s="66">
        <f t="shared" si="124"/>
        <v>0</v>
      </c>
      <c r="AV37" s="66">
        <f t="shared" si="125"/>
        <v>0</v>
      </c>
      <c r="AW37" s="66">
        <f t="shared" si="126"/>
        <v>0</v>
      </c>
      <c r="AX37" s="66">
        <f t="shared" si="127"/>
        <v>0</v>
      </c>
      <c r="AY37" s="66">
        <f t="shared" si="128"/>
        <v>0</v>
      </c>
      <c r="AZ37" s="66">
        <f t="shared" si="129"/>
        <v>0</v>
      </c>
      <c r="BA37" s="66">
        <f t="shared" si="130"/>
        <v>0</v>
      </c>
      <c r="BB37" s="66">
        <f t="shared" si="131"/>
        <v>0</v>
      </c>
      <c r="BC37" s="66">
        <f t="shared" si="132"/>
        <v>0</v>
      </c>
      <c r="BD37" s="66">
        <f t="shared" si="133"/>
        <v>0</v>
      </c>
      <c r="BE37" s="66">
        <f t="shared" si="134"/>
        <v>0</v>
      </c>
      <c r="BF37" s="66">
        <f t="shared" si="135"/>
        <v>0</v>
      </c>
      <c r="BG37" s="66">
        <f t="shared" si="136"/>
        <v>0</v>
      </c>
      <c r="BH37" s="66">
        <f t="shared" si="137"/>
        <v>0</v>
      </c>
      <c r="BI37" s="66">
        <f t="shared" si="138"/>
        <v>0</v>
      </c>
      <c r="BJ37" s="68">
        <f t="shared" si="139"/>
        <v>0</v>
      </c>
      <c r="BK37" s="352">
        <v>1</v>
      </c>
      <c r="BL37" s="352">
        <v>12</v>
      </c>
      <c r="BM37" s="263">
        <v>1</v>
      </c>
      <c r="BN37" s="263">
        <v>12</v>
      </c>
      <c r="BO37" s="69">
        <f t="shared" si="140"/>
        <v>42186</v>
      </c>
      <c r="BP37" s="69">
        <f t="shared" si="141"/>
        <v>42552</v>
      </c>
      <c r="BQ37" s="70">
        <f t="shared" si="213"/>
        <v>6.54E-2</v>
      </c>
      <c r="BR37" s="285">
        <f t="shared" si="214"/>
        <v>0.1391</v>
      </c>
      <c r="BS37" s="68">
        <f t="shared" si="142"/>
        <v>0</v>
      </c>
      <c r="BT37" s="68">
        <f t="shared" si="143"/>
        <v>0</v>
      </c>
      <c r="BU37" s="353"/>
      <c r="BV37" s="71" t="e">
        <f t="shared" si="144"/>
        <v>#DIV/0!</v>
      </c>
      <c r="BW37" s="72"/>
      <c r="BX37" s="73" t="e">
        <f t="shared" si="215"/>
        <v>#DIV/0!</v>
      </c>
      <c r="BY37" s="73" t="e">
        <f t="shared" si="216"/>
        <v>#DIV/0!</v>
      </c>
      <c r="BZ37" s="73" t="e">
        <f t="shared" si="217"/>
        <v>#DIV/0!</v>
      </c>
      <c r="CA37" s="73" t="e">
        <f t="shared" si="218"/>
        <v>#DIV/0!</v>
      </c>
      <c r="CB37" s="73" t="e">
        <f t="shared" si="219"/>
        <v>#DIV/0!</v>
      </c>
      <c r="CD37" s="354"/>
      <c r="CE37" s="354"/>
      <c r="CF37" s="354"/>
      <c r="CG37" s="354"/>
      <c r="CH37" s="354"/>
      <c r="CI37" s="354"/>
      <c r="CJ37" s="354"/>
      <c r="CK37" s="354"/>
      <c r="CL37" s="354"/>
      <c r="CM37" s="354"/>
      <c r="CN37" s="354"/>
      <c r="CO37" s="354"/>
      <c r="CP37" s="354"/>
      <c r="CQ37" s="354"/>
      <c r="CR37" s="354"/>
      <c r="CS37" s="354"/>
      <c r="CT37" s="354"/>
      <c r="CU37" s="354"/>
      <c r="CV37" s="354"/>
      <c r="CW37" s="354"/>
      <c r="CX37" s="354"/>
      <c r="CY37" s="354"/>
      <c r="CZ37" s="354"/>
      <c r="DA37" s="354"/>
      <c r="DB37" s="354"/>
      <c r="DC37" s="354"/>
      <c r="DD37" s="95"/>
      <c r="DE37" s="45"/>
      <c r="DF37" s="76"/>
      <c r="DG37" s="77">
        <f t="shared" si="145"/>
        <v>0</v>
      </c>
      <c r="DH37" s="68">
        <f t="shared" si="146"/>
        <v>0</v>
      </c>
      <c r="DI37" s="78"/>
      <c r="DJ37" s="189"/>
      <c r="DL37" s="146">
        <f t="shared" si="220"/>
        <v>0</v>
      </c>
      <c r="DM37" s="146">
        <f t="shared" si="147"/>
        <v>0</v>
      </c>
      <c r="DN37" s="146">
        <f t="shared" si="221"/>
        <v>0</v>
      </c>
      <c r="DO37" s="146">
        <f t="shared" si="222"/>
        <v>0</v>
      </c>
      <c r="DP37" s="146">
        <f t="shared" si="223"/>
        <v>0</v>
      </c>
      <c r="DQ37" s="146">
        <f t="shared" si="224"/>
        <v>0</v>
      </c>
      <c r="DR37" s="146">
        <f t="shared" si="225"/>
        <v>0</v>
      </c>
      <c r="DS37" s="146">
        <f t="shared" si="226"/>
        <v>0</v>
      </c>
      <c r="DT37" s="146">
        <f t="shared" si="227"/>
        <v>0</v>
      </c>
      <c r="DU37" s="146">
        <f t="shared" si="228"/>
        <v>0</v>
      </c>
      <c r="DV37" s="146">
        <f t="shared" si="229"/>
        <v>0</v>
      </c>
      <c r="DW37" s="181">
        <f t="shared" si="230"/>
        <v>0</v>
      </c>
      <c r="DY37" s="183" t="e">
        <f>$CD37*VLOOKUP($G37,'Рецепты а.б.'!$B$5:$AW$50,DY$67,0)</f>
        <v>#N/A</v>
      </c>
      <c r="DZ37" s="75" t="e">
        <f>$CD37*VLOOKUP($G37,'Рецепты а.б.'!$B$5:$AW$50,DZ$67,0)</f>
        <v>#N/A</v>
      </c>
      <c r="EA37" s="75" t="e">
        <f>$CD37*VLOOKUP($G37,'Рецепты а.б.'!$B$5:$AW$50,EA$67,0)</f>
        <v>#N/A</v>
      </c>
      <c r="EB37" s="75" t="e">
        <f>$CD37*VLOOKUP($G37,'Рецепты а.б.'!$B$5:$AW$50,EB$67,0)</f>
        <v>#N/A</v>
      </c>
      <c r="EC37" s="75" t="e">
        <f>$CD37*VLOOKUP($G37,'Рецепты а.б.'!$B$5:$AW$50,EC$67,0)</f>
        <v>#N/A</v>
      </c>
      <c r="ED37" s="75" t="e">
        <f>$CD37*VLOOKUP($G37,'Рецепты а.б.'!$B$5:$AW$50,ED$67,0)</f>
        <v>#N/A</v>
      </c>
      <c r="EE37" s="75" t="e">
        <f>$CD37*VLOOKUP($G37,'Рецепты а.б.'!$B$5:$AW$50,EE$67,0)</f>
        <v>#N/A</v>
      </c>
      <c r="EF37" s="75" t="e">
        <f>$CF37*VLOOKUP($G37,'Рецепты а.б.'!$B$5:$AW$50,EF$67,0)</f>
        <v>#N/A</v>
      </c>
      <c r="EG37" s="75" t="e">
        <f>$CF37*VLOOKUP($G37,'Рецепты а.б.'!$B$5:$AW$50,EG$67,0)</f>
        <v>#N/A</v>
      </c>
      <c r="EH37" s="75" t="e">
        <f>$CF37*VLOOKUP($G37,'Рецепты а.б.'!$B$5:$AW$50,EH$67,0)</f>
        <v>#N/A</v>
      </c>
      <c r="EI37" s="75" t="e">
        <f>$CF37*VLOOKUP($G37,'Рецепты а.б.'!$B$5:$AW$50,EI$67,0)</f>
        <v>#N/A</v>
      </c>
      <c r="EJ37" s="75" t="e">
        <f>$CF37*VLOOKUP($G37,'Рецепты а.б.'!$B$5:$AW$50,EJ$67,0)</f>
        <v>#N/A</v>
      </c>
      <c r="EK37" s="75" t="e">
        <f>$CF37*VLOOKUP($G37,'Рецепты а.б.'!$B$5:$AW$50,EK$67,0)</f>
        <v>#N/A</v>
      </c>
      <c r="EL37" s="75" t="e">
        <f>$CF37*VLOOKUP($G37,'Рецепты а.б.'!$B$5:$AW$50,EL$67,0)</f>
        <v>#N/A</v>
      </c>
      <c r="EM37" s="75" t="e">
        <f>$CG37*VLOOKUP($G37,'Рецепты а.б.'!$B$5:$AW$50,EM$67,0)</f>
        <v>#N/A</v>
      </c>
      <c r="EN37" s="75" t="e">
        <f>$CG37*VLOOKUP($G37,'Рецепты а.б.'!$B$5:$AW$50,EN$67,0)</f>
        <v>#N/A</v>
      </c>
      <c r="EO37" s="75" t="e">
        <f>$CG37*VLOOKUP($G37,'Рецепты а.б.'!$B$5:$AW$50,EO$67,0)</f>
        <v>#N/A</v>
      </c>
      <c r="EP37" s="75" t="e">
        <f>$CG37*VLOOKUP($G37,'Рецепты а.б.'!$B$5:$AW$50,EP$67,0)</f>
        <v>#N/A</v>
      </c>
      <c r="EQ37" s="75" t="e">
        <f>$CG37*VLOOKUP($G37,'Рецепты а.б.'!$B$5:$AW$50,EQ$67,0)</f>
        <v>#N/A</v>
      </c>
      <c r="ER37" s="75" t="e">
        <f>$CG37*VLOOKUP($G37,'Рецепты а.б.'!$B$5:$AW$50,ER$67,0)</f>
        <v>#N/A</v>
      </c>
      <c r="ES37" s="75" t="e">
        <f>$CG37*VLOOKUP($G37,'Рецепты а.б.'!$B$5:$AW$50,ES$67,0)</f>
        <v>#N/A</v>
      </c>
      <c r="ET37" s="75" t="e">
        <f>$CH37*VLOOKUP($G37,'Рецепты а.б.'!$B$5:$AW$50,ET$67,0)</f>
        <v>#N/A</v>
      </c>
      <c r="EU37" s="75" t="e">
        <f>$CH37*VLOOKUP($G37,'Рецепты а.б.'!$B$5:$AW$50,EU$67,0)</f>
        <v>#N/A</v>
      </c>
      <c r="EV37" s="75" t="e">
        <f>$CH37*VLOOKUP($G37,'Рецепты а.б.'!$B$5:$AW$50,EV$67,0)</f>
        <v>#N/A</v>
      </c>
      <c r="EW37" s="75" t="e">
        <f>$CH37*VLOOKUP($G37,'Рецепты а.б.'!$B$5:$AW$50,EW$67,0)</f>
        <v>#N/A</v>
      </c>
      <c r="EX37" s="75" t="e">
        <f>$CH37*VLOOKUP($G37,'Рецепты а.б.'!$B$5:$AW$50,EX$67,0)</f>
        <v>#N/A</v>
      </c>
      <c r="EY37" s="75" t="e">
        <f>$CI37*VLOOKUP($G37,'Рецепты а.б.'!$B$5:$AW$50,EY$67,0)</f>
        <v>#N/A</v>
      </c>
      <c r="EZ37" s="75" t="e">
        <f>$CI37*VLOOKUP($G37,'Рецепты а.б.'!$B$5:$AW$50,EZ$67,0)</f>
        <v>#N/A</v>
      </c>
      <c r="FA37" s="75" t="e">
        <f>$CI37*VLOOKUP($G37,'Рецепты а.б.'!$B$5:$AW$50,FA$67,0)</f>
        <v>#N/A</v>
      </c>
      <c r="FB37" s="75" t="e">
        <f>$CI37*VLOOKUP($G37,'Рецепты а.б.'!$B$5:$AW$50,FB$67,0)</f>
        <v>#N/A</v>
      </c>
      <c r="FC37" s="75" t="e">
        <f>$CI37*VLOOKUP($G37,'Рецепты а.б.'!$B$5:$AW$50,FC$67,0)</f>
        <v>#N/A</v>
      </c>
      <c r="FD37" s="75" t="e">
        <f>$CI37*VLOOKUP($G37,'Рецепты а.б.'!$B$5:$AW$50,FD$67,0)</f>
        <v>#N/A</v>
      </c>
      <c r="FE37" s="75" t="e">
        <f>$CJ37*VLOOKUP($G37,'Рецепты а.б.'!$B$5:$AW$50,FE$67,0)</f>
        <v>#N/A</v>
      </c>
      <c r="FF37" s="75" t="e">
        <f>$CJ37*VLOOKUP($G37,'Рецепты а.б.'!$B$5:$AW$50,FF$67,0)</f>
        <v>#N/A</v>
      </c>
      <c r="FG37" s="75" t="e">
        <f>$CE37*VLOOKUP($G37,'Рецепты а.б.'!$B$5:$AW$50,FG$67,0)</f>
        <v>#N/A</v>
      </c>
      <c r="FH37" s="75" t="e">
        <f>$CE37*VLOOKUP($G37,'Рецепты а.б.'!$B$5:$AW$50,FH$67,0)</f>
        <v>#N/A</v>
      </c>
      <c r="FI37" s="75" t="e">
        <f>$CE37*VLOOKUP($G37,'Рецепты а.б.'!$B$5:$AW$50,FI$67,0)</f>
        <v>#N/A</v>
      </c>
      <c r="FJ37" s="75" t="e">
        <f>$CE37*VLOOKUP($G37,'Рецепты а.б.'!$B$5:$AW$50,FJ$67,0)</f>
        <v>#N/A</v>
      </c>
      <c r="FK37" s="75" t="e">
        <f>$CE37*VLOOKUP($G37,'Рецепты а.б.'!$B$5:$AW$50,FK$67,0)</f>
        <v>#N/A</v>
      </c>
      <c r="FL37" s="75" t="e">
        <f>$CE37*VLOOKUP($G37,'Рецепты а.б.'!$B$5:$AW$50,FL$67,0)</f>
        <v>#N/A</v>
      </c>
      <c r="FM37" s="75" t="e">
        <f>$CE37*VLOOKUP($G37,'Рецепты а.б.'!$B$5:$AW$50,FM$67,0)</f>
        <v>#N/A</v>
      </c>
      <c r="FN37" s="75" t="e">
        <f>$CE37*VLOOKUP($G37,'Рецепты а.б.'!$B$5:$AW$50,FN$67,0)</f>
        <v>#N/A</v>
      </c>
    </row>
    <row r="38" spans="1:170" s="64" customFormat="1" hidden="1" x14ac:dyDescent="0.2">
      <c r="A38" s="127">
        <f t="shared" si="201"/>
        <v>35</v>
      </c>
      <c r="B38" s="344"/>
      <c r="C38" s="344"/>
      <c r="D38" s="344"/>
      <c r="E38" s="420" t="s">
        <v>331</v>
      </c>
      <c r="F38" s="345"/>
      <c r="G38" s="346"/>
      <c r="H38" s="419" t="s">
        <v>206</v>
      </c>
      <c r="I38" s="347"/>
      <c r="J38" s="348"/>
      <c r="K38" s="348"/>
      <c r="L38" s="348"/>
      <c r="M38" s="348"/>
      <c r="N38" s="348"/>
      <c r="O38" s="65">
        <f t="shared" si="206"/>
        <v>0</v>
      </c>
      <c r="P38" s="342">
        <f t="shared" si="5"/>
        <v>0</v>
      </c>
      <c r="Q38" s="342"/>
      <c r="R38" s="342"/>
      <c r="S38" s="342"/>
      <c r="T38" s="65">
        <f t="shared" si="207"/>
        <v>0</v>
      </c>
      <c r="U38" s="66">
        <f t="shared" si="108"/>
        <v>0</v>
      </c>
      <c r="V38" s="66">
        <f t="shared" si="109"/>
        <v>0</v>
      </c>
      <c r="W38" s="349">
        <f t="shared" si="74"/>
        <v>0</v>
      </c>
      <c r="X38" s="350"/>
      <c r="Y38" s="350"/>
      <c r="Z38" s="351"/>
      <c r="AA38" s="66">
        <f t="shared" si="110"/>
        <v>0</v>
      </c>
      <c r="AB38" s="66">
        <f t="shared" si="111"/>
        <v>0</v>
      </c>
      <c r="AC38" s="66">
        <f t="shared" si="112"/>
        <v>0</v>
      </c>
      <c r="AD38" s="66">
        <f t="shared" si="113"/>
        <v>0</v>
      </c>
      <c r="AE38" s="66">
        <f t="shared" si="14"/>
        <v>0</v>
      </c>
      <c r="AF38" s="66">
        <f t="shared" si="208"/>
        <v>0</v>
      </c>
      <c r="AG38" s="66">
        <f t="shared" si="209"/>
        <v>0</v>
      </c>
      <c r="AH38" s="66">
        <f t="shared" si="210"/>
        <v>0</v>
      </c>
      <c r="AI38" s="66">
        <f t="shared" si="211"/>
        <v>0</v>
      </c>
      <c r="AJ38" s="66">
        <f t="shared" si="114"/>
        <v>0</v>
      </c>
      <c r="AK38" s="67">
        <f t="shared" si="115"/>
        <v>0</v>
      </c>
      <c r="AL38" s="67">
        <f t="shared" si="116"/>
        <v>0</v>
      </c>
      <c r="AM38" s="67">
        <f t="shared" si="117"/>
        <v>0</v>
      </c>
      <c r="AN38" s="67">
        <f t="shared" si="212"/>
        <v>0</v>
      </c>
      <c r="AO38" s="66">
        <f t="shared" si="118"/>
        <v>0</v>
      </c>
      <c r="AP38" s="66">
        <f t="shared" si="119"/>
        <v>0</v>
      </c>
      <c r="AQ38" s="66">
        <f t="shared" si="120"/>
        <v>0</v>
      </c>
      <c r="AR38" s="66">
        <f t="shared" si="121"/>
        <v>0</v>
      </c>
      <c r="AS38" s="66">
        <f t="shared" si="122"/>
        <v>0</v>
      </c>
      <c r="AT38" s="66">
        <f t="shared" si="123"/>
        <v>0</v>
      </c>
      <c r="AU38" s="66">
        <f t="shared" si="124"/>
        <v>0</v>
      </c>
      <c r="AV38" s="66">
        <f t="shared" si="125"/>
        <v>0</v>
      </c>
      <c r="AW38" s="66">
        <f t="shared" si="126"/>
        <v>0</v>
      </c>
      <c r="AX38" s="66">
        <f t="shared" si="127"/>
        <v>0</v>
      </c>
      <c r="AY38" s="66">
        <f t="shared" si="128"/>
        <v>0</v>
      </c>
      <c r="AZ38" s="66">
        <f t="shared" si="129"/>
        <v>0</v>
      </c>
      <c r="BA38" s="66">
        <f t="shared" si="130"/>
        <v>0</v>
      </c>
      <c r="BB38" s="66">
        <f t="shared" si="131"/>
        <v>0</v>
      </c>
      <c r="BC38" s="66">
        <f t="shared" si="132"/>
        <v>0</v>
      </c>
      <c r="BD38" s="66">
        <f t="shared" si="133"/>
        <v>0</v>
      </c>
      <c r="BE38" s="66">
        <f t="shared" si="134"/>
        <v>0</v>
      </c>
      <c r="BF38" s="66">
        <f t="shared" si="135"/>
        <v>0</v>
      </c>
      <c r="BG38" s="66">
        <f t="shared" si="136"/>
        <v>0</v>
      </c>
      <c r="BH38" s="66">
        <f t="shared" si="137"/>
        <v>0</v>
      </c>
      <c r="BI38" s="66">
        <f t="shared" si="138"/>
        <v>0</v>
      </c>
      <c r="BJ38" s="68">
        <f t="shared" si="139"/>
        <v>0</v>
      </c>
      <c r="BK38" s="352">
        <v>1</v>
      </c>
      <c r="BL38" s="352">
        <v>12</v>
      </c>
      <c r="BM38" s="263">
        <v>1</v>
      </c>
      <c r="BN38" s="263">
        <v>12</v>
      </c>
      <c r="BO38" s="69">
        <f t="shared" si="140"/>
        <v>42186</v>
      </c>
      <c r="BP38" s="69">
        <f t="shared" si="141"/>
        <v>42552</v>
      </c>
      <c r="BQ38" s="70">
        <f t="shared" si="213"/>
        <v>6.54E-2</v>
      </c>
      <c r="BR38" s="285">
        <f t="shared" si="214"/>
        <v>0.1391</v>
      </c>
      <c r="BS38" s="68">
        <f t="shared" si="142"/>
        <v>0</v>
      </c>
      <c r="BT38" s="68">
        <f t="shared" si="143"/>
        <v>0</v>
      </c>
      <c r="BU38" s="353"/>
      <c r="BV38" s="71" t="e">
        <f t="shared" si="144"/>
        <v>#DIV/0!</v>
      </c>
      <c r="BW38" s="72"/>
      <c r="BX38" s="73" t="e">
        <f t="shared" si="215"/>
        <v>#DIV/0!</v>
      </c>
      <c r="BY38" s="73" t="e">
        <f t="shared" si="216"/>
        <v>#DIV/0!</v>
      </c>
      <c r="BZ38" s="73" t="e">
        <f t="shared" si="217"/>
        <v>#DIV/0!</v>
      </c>
      <c r="CA38" s="73" t="e">
        <f t="shared" si="218"/>
        <v>#DIV/0!</v>
      </c>
      <c r="CB38" s="73" t="e">
        <f t="shared" si="219"/>
        <v>#DIV/0!</v>
      </c>
      <c r="CD38" s="354"/>
      <c r="CE38" s="354"/>
      <c r="CF38" s="354"/>
      <c r="CG38" s="354"/>
      <c r="CH38" s="354"/>
      <c r="CI38" s="354"/>
      <c r="CJ38" s="354"/>
      <c r="CK38" s="354"/>
      <c r="CL38" s="354"/>
      <c r="CM38" s="354"/>
      <c r="CN38" s="354"/>
      <c r="CO38" s="354"/>
      <c r="CP38" s="354"/>
      <c r="CQ38" s="354"/>
      <c r="CR38" s="354"/>
      <c r="CS38" s="354"/>
      <c r="CT38" s="354"/>
      <c r="CU38" s="354"/>
      <c r="CV38" s="354"/>
      <c r="CW38" s="354"/>
      <c r="CX38" s="354"/>
      <c r="CY38" s="354"/>
      <c r="CZ38" s="354"/>
      <c r="DA38" s="354"/>
      <c r="DB38" s="354"/>
      <c r="DC38" s="354"/>
      <c r="DD38" s="95"/>
      <c r="DE38" s="45"/>
      <c r="DF38" s="76"/>
      <c r="DG38" s="77">
        <f t="shared" si="145"/>
        <v>0</v>
      </c>
      <c r="DH38" s="68">
        <f t="shared" si="146"/>
        <v>0</v>
      </c>
      <c r="DI38" s="78"/>
      <c r="DJ38" s="189"/>
      <c r="DL38" s="146">
        <f t="shared" si="220"/>
        <v>0</v>
      </c>
      <c r="DM38" s="146">
        <f t="shared" si="147"/>
        <v>0</v>
      </c>
      <c r="DN38" s="146">
        <f t="shared" si="221"/>
        <v>0</v>
      </c>
      <c r="DO38" s="146">
        <f t="shared" si="222"/>
        <v>0</v>
      </c>
      <c r="DP38" s="146">
        <f t="shared" si="223"/>
        <v>0</v>
      </c>
      <c r="DQ38" s="146">
        <f t="shared" si="224"/>
        <v>0</v>
      </c>
      <c r="DR38" s="146">
        <f t="shared" si="225"/>
        <v>0</v>
      </c>
      <c r="DS38" s="146">
        <f t="shared" si="226"/>
        <v>0</v>
      </c>
      <c r="DT38" s="146">
        <f t="shared" si="227"/>
        <v>0</v>
      </c>
      <c r="DU38" s="146">
        <f t="shared" si="228"/>
        <v>0</v>
      </c>
      <c r="DV38" s="146">
        <f t="shared" si="229"/>
        <v>0</v>
      </c>
      <c r="DW38" s="181">
        <f t="shared" si="230"/>
        <v>0</v>
      </c>
      <c r="DY38" s="183" t="e">
        <f>$CD38*VLOOKUP($G38,'Рецепты а.б.'!$B$5:$AW$50,DY$67,0)</f>
        <v>#N/A</v>
      </c>
      <c r="DZ38" s="75" t="e">
        <f>$CD38*VLOOKUP($G38,'Рецепты а.б.'!$B$5:$AW$50,DZ$67,0)</f>
        <v>#N/A</v>
      </c>
      <c r="EA38" s="75" t="e">
        <f>$CD38*VLOOKUP($G38,'Рецепты а.б.'!$B$5:$AW$50,EA$67,0)</f>
        <v>#N/A</v>
      </c>
      <c r="EB38" s="75" t="e">
        <f>$CD38*VLOOKUP($G38,'Рецепты а.б.'!$B$5:$AW$50,EB$67,0)</f>
        <v>#N/A</v>
      </c>
      <c r="EC38" s="75" t="e">
        <f>$CD38*VLOOKUP($G38,'Рецепты а.б.'!$B$5:$AW$50,EC$67,0)</f>
        <v>#N/A</v>
      </c>
      <c r="ED38" s="75" t="e">
        <f>$CD38*VLOOKUP($G38,'Рецепты а.б.'!$B$5:$AW$50,ED$67,0)</f>
        <v>#N/A</v>
      </c>
      <c r="EE38" s="75" t="e">
        <f>$CD38*VLOOKUP($G38,'Рецепты а.б.'!$B$5:$AW$50,EE$67,0)</f>
        <v>#N/A</v>
      </c>
      <c r="EF38" s="75" t="e">
        <f>$CF38*VLOOKUP($G38,'Рецепты а.б.'!$B$5:$AW$50,EF$67,0)</f>
        <v>#N/A</v>
      </c>
      <c r="EG38" s="75" t="e">
        <f>$CF38*VLOOKUP($G38,'Рецепты а.б.'!$B$5:$AW$50,EG$67,0)</f>
        <v>#N/A</v>
      </c>
      <c r="EH38" s="75" t="e">
        <f>$CF38*VLOOKUP($G38,'Рецепты а.б.'!$B$5:$AW$50,EH$67,0)</f>
        <v>#N/A</v>
      </c>
      <c r="EI38" s="75" t="e">
        <f>$CF38*VLOOKUP($G38,'Рецепты а.б.'!$B$5:$AW$50,EI$67,0)</f>
        <v>#N/A</v>
      </c>
      <c r="EJ38" s="75" t="e">
        <f>$CF38*VLOOKUP($G38,'Рецепты а.б.'!$B$5:$AW$50,EJ$67,0)</f>
        <v>#N/A</v>
      </c>
      <c r="EK38" s="75" t="e">
        <f>$CF38*VLOOKUP($G38,'Рецепты а.б.'!$B$5:$AW$50,EK$67,0)</f>
        <v>#N/A</v>
      </c>
      <c r="EL38" s="75" t="e">
        <f>$CF38*VLOOKUP($G38,'Рецепты а.б.'!$B$5:$AW$50,EL$67,0)</f>
        <v>#N/A</v>
      </c>
      <c r="EM38" s="75" t="e">
        <f>$CG38*VLOOKUP($G38,'Рецепты а.б.'!$B$5:$AW$50,EM$67,0)</f>
        <v>#N/A</v>
      </c>
      <c r="EN38" s="75" t="e">
        <f>$CG38*VLOOKUP($G38,'Рецепты а.б.'!$B$5:$AW$50,EN$67,0)</f>
        <v>#N/A</v>
      </c>
      <c r="EO38" s="75" t="e">
        <f>$CG38*VLOOKUP($G38,'Рецепты а.б.'!$B$5:$AW$50,EO$67,0)</f>
        <v>#N/A</v>
      </c>
      <c r="EP38" s="75" t="e">
        <f>$CG38*VLOOKUP($G38,'Рецепты а.б.'!$B$5:$AW$50,EP$67,0)</f>
        <v>#N/A</v>
      </c>
      <c r="EQ38" s="75" t="e">
        <f>$CG38*VLOOKUP($G38,'Рецепты а.б.'!$B$5:$AW$50,EQ$67,0)</f>
        <v>#N/A</v>
      </c>
      <c r="ER38" s="75" t="e">
        <f>$CG38*VLOOKUP($G38,'Рецепты а.б.'!$B$5:$AW$50,ER$67,0)</f>
        <v>#N/A</v>
      </c>
      <c r="ES38" s="75" t="e">
        <f>$CG38*VLOOKUP($G38,'Рецепты а.б.'!$B$5:$AW$50,ES$67,0)</f>
        <v>#N/A</v>
      </c>
      <c r="ET38" s="75" t="e">
        <f>$CH38*VLOOKUP($G38,'Рецепты а.б.'!$B$5:$AW$50,ET$67,0)</f>
        <v>#N/A</v>
      </c>
      <c r="EU38" s="75" t="e">
        <f>$CH38*VLOOKUP($G38,'Рецепты а.б.'!$B$5:$AW$50,EU$67,0)</f>
        <v>#N/A</v>
      </c>
      <c r="EV38" s="75" t="e">
        <f>$CH38*VLOOKUP($G38,'Рецепты а.б.'!$B$5:$AW$50,EV$67,0)</f>
        <v>#N/A</v>
      </c>
      <c r="EW38" s="75" t="e">
        <f>$CH38*VLOOKUP($G38,'Рецепты а.б.'!$B$5:$AW$50,EW$67,0)</f>
        <v>#N/A</v>
      </c>
      <c r="EX38" s="75" t="e">
        <f>$CH38*VLOOKUP($G38,'Рецепты а.б.'!$B$5:$AW$50,EX$67,0)</f>
        <v>#N/A</v>
      </c>
      <c r="EY38" s="75" t="e">
        <f>$CI38*VLOOKUP($G38,'Рецепты а.б.'!$B$5:$AW$50,EY$67,0)</f>
        <v>#N/A</v>
      </c>
      <c r="EZ38" s="75" t="e">
        <f>$CI38*VLOOKUP($G38,'Рецепты а.б.'!$B$5:$AW$50,EZ$67,0)</f>
        <v>#N/A</v>
      </c>
      <c r="FA38" s="75" t="e">
        <f>$CI38*VLOOKUP($G38,'Рецепты а.б.'!$B$5:$AW$50,FA$67,0)</f>
        <v>#N/A</v>
      </c>
      <c r="FB38" s="75" t="e">
        <f>$CI38*VLOOKUP($G38,'Рецепты а.б.'!$B$5:$AW$50,FB$67,0)</f>
        <v>#N/A</v>
      </c>
      <c r="FC38" s="75" t="e">
        <f>$CI38*VLOOKUP($G38,'Рецепты а.б.'!$B$5:$AW$50,FC$67,0)</f>
        <v>#N/A</v>
      </c>
      <c r="FD38" s="75" t="e">
        <f>$CI38*VLOOKUP($G38,'Рецепты а.б.'!$B$5:$AW$50,FD$67,0)</f>
        <v>#N/A</v>
      </c>
      <c r="FE38" s="75" t="e">
        <f>$CJ38*VLOOKUP($G38,'Рецепты а.б.'!$B$5:$AW$50,FE$67,0)</f>
        <v>#N/A</v>
      </c>
      <c r="FF38" s="75" t="e">
        <f>$CJ38*VLOOKUP($G38,'Рецепты а.б.'!$B$5:$AW$50,FF$67,0)</f>
        <v>#N/A</v>
      </c>
      <c r="FG38" s="75" t="e">
        <f>$CE38*VLOOKUP($G38,'Рецепты а.б.'!$B$5:$AW$50,FG$67,0)</f>
        <v>#N/A</v>
      </c>
      <c r="FH38" s="75" t="e">
        <f>$CE38*VLOOKUP($G38,'Рецепты а.б.'!$B$5:$AW$50,FH$67,0)</f>
        <v>#N/A</v>
      </c>
      <c r="FI38" s="75" t="e">
        <f>$CE38*VLOOKUP($G38,'Рецепты а.б.'!$B$5:$AW$50,FI$67,0)</f>
        <v>#N/A</v>
      </c>
      <c r="FJ38" s="75" t="e">
        <f>$CE38*VLOOKUP($G38,'Рецепты а.б.'!$B$5:$AW$50,FJ$67,0)</f>
        <v>#N/A</v>
      </c>
      <c r="FK38" s="75" t="e">
        <f>$CE38*VLOOKUP($G38,'Рецепты а.б.'!$B$5:$AW$50,FK$67,0)</f>
        <v>#N/A</v>
      </c>
      <c r="FL38" s="75" t="e">
        <f>$CE38*VLOOKUP($G38,'Рецепты а.б.'!$B$5:$AW$50,FL$67,0)</f>
        <v>#N/A</v>
      </c>
      <c r="FM38" s="75" t="e">
        <f>$CE38*VLOOKUP($G38,'Рецепты а.б.'!$B$5:$AW$50,FM$67,0)</f>
        <v>#N/A</v>
      </c>
      <c r="FN38" s="75" t="e">
        <f>$CE38*VLOOKUP($G38,'Рецепты а.б.'!$B$5:$AW$50,FN$67,0)</f>
        <v>#N/A</v>
      </c>
    </row>
    <row r="39" spans="1:170" s="64" customFormat="1" hidden="1" x14ac:dyDescent="0.2">
      <c r="A39" s="127">
        <f t="shared" si="201"/>
        <v>36</v>
      </c>
      <c r="B39" s="344"/>
      <c r="C39" s="344"/>
      <c r="D39" s="344"/>
      <c r="E39" s="420" t="s">
        <v>331</v>
      </c>
      <c r="F39" s="345"/>
      <c r="G39" s="346"/>
      <c r="H39" s="419" t="s">
        <v>206</v>
      </c>
      <c r="I39" s="347"/>
      <c r="J39" s="348"/>
      <c r="K39" s="348"/>
      <c r="L39" s="348"/>
      <c r="M39" s="348"/>
      <c r="N39" s="348"/>
      <c r="O39" s="65">
        <f t="shared" ref="O39:O40" si="231">SUM(J39:N39)</f>
        <v>0</v>
      </c>
      <c r="P39" s="342">
        <f t="shared" si="5"/>
        <v>0</v>
      </c>
      <c r="Q39" s="342"/>
      <c r="R39" s="342"/>
      <c r="S39" s="342"/>
      <c r="T39" s="65">
        <f t="shared" ref="T39:T40" si="232">SUM(P39:S39)</f>
        <v>0</v>
      </c>
      <c r="U39" s="66">
        <f t="shared" si="108"/>
        <v>0</v>
      </c>
      <c r="V39" s="66">
        <f t="shared" si="109"/>
        <v>0</v>
      </c>
      <c r="W39" s="349">
        <f t="shared" si="74"/>
        <v>0</v>
      </c>
      <c r="X39" s="350"/>
      <c r="Y39" s="350"/>
      <c r="Z39" s="351"/>
      <c r="AA39" s="66">
        <f t="shared" si="110"/>
        <v>0</v>
      </c>
      <c r="AB39" s="66">
        <f t="shared" si="111"/>
        <v>0</v>
      </c>
      <c r="AC39" s="66">
        <f t="shared" si="112"/>
        <v>0</v>
      </c>
      <c r="AD39" s="66">
        <f t="shared" si="113"/>
        <v>0</v>
      </c>
      <c r="AE39" s="66">
        <f t="shared" si="14"/>
        <v>0</v>
      </c>
      <c r="AF39" s="66">
        <f t="shared" si="208"/>
        <v>0</v>
      </c>
      <c r="AG39" s="66">
        <f t="shared" si="209"/>
        <v>0</v>
      </c>
      <c r="AH39" s="66">
        <f t="shared" si="210"/>
        <v>0</v>
      </c>
      <c r="AI39" s="66">
        <f t="shared" si="211"/>
        <v>0</v>
      </c>
      <c r="AJ39" s="66">
        <f t="shared" si="114"/>
        <v>0</v>
      </c>
      <c r="AK39" s="67">
        <f t="shared" si="115"/>
        <v>0</v>
      </c>
      <c r="AL39" s="67">
        <f t="shared" si="116"/>
        <v>0</v>
      </c>
      <c r="AM39" s="67">
        <f t="shared" si="117"/>
        <v>0</v>
      </c>
      <c r="AN39" s="67">
        <f t="shared" si="212"/>
        <v>0</v>
      </c>
      <c r="AO39" s="66">
        <f t="shared" ref="AO39:AO40" si="233">SUM(AK39:AN39)</f>
        <v>0</v>
      </c>
      <c r="AP39" s="66">
        <f t="shared" si="119"/>
        <v>0</v>
      </c>
      <c r="AQ39" s="66">
        <f t="shared" si="120"/>
        <v>0</v>
      </c>
      <c r="AR39" s="66">
        <f t="shared" si="121"/>
        <v>0</v>
      </c>
      <c r="AS39" s="66">
        <f t="shared" si="122"/>
        <v>0</v>
      </c>
      <c r="AT39" s="66">
        <f t="shared" si="123"/>
        <v>0</v>
      </c>
      <c r="AU39" s="66">
        <f t="shared" si="124"/>
        <v>0</v>
      </c>
      <c r="AV39" s="66">
        <f t="shared" si="125"/>
        <v>0</v>
      </c>
      <c r="AW39" s="66">
        <f t="shared" si="126"/>
        <v>0</v>
      </c>
      <c r="AX39" s="66">
        <f t="shared" si="127"/>
        <v>0</v>
      </c>
      <c r="AY39" s="66">
        <f t="shared" si="128"/>
        <v>0</v>
      </c>
      <c r="AZ39" s="66">
        <f t="shared" si="129"/>
        <v>0</v>
      </c>
      <c r="BA39" s="66">
        <f t="shared" si="130"/>
        <v>0</v>
      </c>
      <c r="BB39" s="66">
        <f t="shared" si="131"/>
        <v>0</v>
      </c>
      <c r="BC39" s="66">
        <f t="shared" si="132"/>
        <v>0</v>
      </c>
      <c r="BD39" s="66">
        <f t="shared" si="133"/>
        <v>0</v>
      </c>
      <c r="BE39" s="66">
        <f t="shared" si="134"/>
        <v>0</v>
      </c>
      <c r="BF39" s="66">
        <f t="shared" si="135"/>
        <v>0</v>
      </c>
      <c r="BG39" s="66">
        <f t="shared" si="136"/>
        <v>0</v>
      </c>
      <c r="BH39" s="66">
        <f t="shared" si="137"/>
        <v>0</v>
      </c>
      <c r="BI39" s="66">
        <f t="shared" si="138"/>
        <v>0</v>
      </c>
      <c r="BJ39" s="68">
        <f t="shared" si="139"/>
        <v>0</v>
      </c>
      <c r="BK39" s="352">
        <v>1</v>
      </c>
      <c r="BL39" s="352">
        <v>12</v>
      </c>
      <c r="BM39" s="263">
        <v>1</v>
      </c>
      <c r="BN39" s="263">
        <v>12</v>
      </c>
      <c r="BO39" s="69">
        <f t="shared" si="140"/>
        <v>42186</v>
      </c>
      <c r="BP39" s="69">
        <f t="shared" si="141"/>
        <v>42552</v>
      </c>
      <c r="BQ39" s="70">
        <f t="shared" si="213"/>
        <v>6.54E-2</v>
      </c>
      <c r="BR39" s="285">
        <f t="shared" si="214"/>
        <v>0.1391</v>
      </c>
      <c r="BS39" s="68">
        <f t="shared" si="142"/>
        <v>0</v>
      </c>
      <c r="BT39" s="68">
        <f t="shared" si="143"/>
        <v>0</v>
      </c>
      <c r="BU39" s="353"/>
      <c r="BV39" s="71" t="e">
        <f t="shared" si="144"/>
        <v>#DIV/0!</v>
      </c>
      <c r="BW39" s="72"/>
      <c r="BX39" s="73" t="e">
        <f t="shared" si="215"/>
        <v>#DIV/0!</v>
      </c>
      <c r="BY39" s="73" t="e">
        <f t="shared" si="216"/>
        <v>#DIV/0!</v>
      </c>
      <c r="BZ39" s="73" t="e">
        <f t="shared" si="217"/>
        <v>#DIV/0!</v>
      </c>
      <c r="CA39" s="73" t="e">
        <f t="shared" si="218"/>
        <v>#DIV/0!</v>
      </c>
      <c r="CB39" s="73" t="e">
        <f t="shared" si="219"/>
        <v>#DIV/0!</v>
      </c>
      <c r="CD39" s="354"/>
      <c r="CE39" s="354"/>
      <c r="CF39" s="354"/>
      <c r="CG39" s="354"/>
      <c r="CH39" s="354"/>
      <c r="CI39" s="354"/>
      <c r="CJ39" s="354"/>
      <c r="CK39" s="354"/>
      <c r="CL39" s="354"/>
      <c r="CM39" s="354"/>
      <c r="CN39" s="354"/>
      <c r="CO39" s="354"/>
      <c r="CP39" s="354"/>
      <c r="CQ39" s="354"/>
      <c r="CR39" s="354"/>
      <c r="CS39" s="354"/>
      <c r="CT39" s="354"/>
      <c r="CU39" s="354"/>
      <c r="CV39" s="354"/>
      <c r="CW39" s="354"/>
      <c r="CX39" s="354"/>
      <c r="CY39" s="354"/>
      <c r="CZ39" s="354"/>
      <c r="DA39" s="354"/>
      <c r="DB39" s="354"/>
      <c r="DC39" s="354"/>
      <c r="DD39" s="95"/>
      <c r="DE39" s="45"/>
      <c r="DF39" s="76"/>
      <c r="DG39" s="77">
        <f t="shared" si="145"/>
        <v>0</v>
      </c>
      <c r="DH39" s="68">
        <f t="shared" si="146"/>
        <v>0</v>
      </c>
      <c r="DI39" s="78"/>
      <c r="DJ39" s="189"/>
      <c r="DL39" s="146">
        <f t="shared" si="220"/>
        <v>0</v>
      </c>
      <c r="DM39" s="146">
        <f t="shared" si="147"/>
        <v>0</v>
      </c>
      <c r="DN39" s="146">
        <f t="shared" si="221"/>
        <v>0</v>
      </c>
      <c r="DO39" s="146">
        <f t="shared" si="222"/>
        <v>0</v>
      </c>
      <c r="DP39" s="146">
        <f t="shared" si="223"/>
        <v>0</v>
      </c>
      <c r="DQ39" s="146">
        <f t="shared" si="224"/>
        <v>0</v>
      </c>
      <c r="DR39" s="146">
        <f t="shared" si="225"/>
        <v>0</v>
      </c>
      <c r="DS39" s="146">
        <f t="shared" si="226"/>
        <v>0</v>
      </c>
      <c r="DT39" s="146">
        <f t="shared" si="227"/>
        <v>0</v>
      </c>
      <c r="DU39" s="146">
        <f t="shared" si="228"/>
        <v>0</v>
      </c>
      <c r="DV39" s="146">
        <f t="shared" si="229"/>
        <v>0</v>
      </c>
      <c r="DW39" s="181">
        <f t="shared" si="230"/>
        <v>0</v>
      </c>
      <c r="DY39" s="183" t="e">
        <f>$CD39*VLOOKUP($G39,'Рецепты а.б.'!$B$5:$AW$50,DY$67,0)</f>
        <v>#N/A</v>
      </c>
      <c r="DZ39" s="75" t="e">
        <f>$CD39*VLOOKUP($G39,'Рецепты а.б.'!$B$5:$AW$50,DZ$67,0)</f>
        <v>#N/A</v>
      </c>
      <c r="EA39" s="75" t="e">
        <f>$CD39*VLOOKUP($G39,'Рецепты а.б.'!$B$5:$AW$50,EA$67,0)</f>
        <v>#N/A</v>
      </c>
      <c r="EB39" s="75" t="e">
        <f>$CD39*VLOOKUP($G39,'Рецепты а.б.'!$B$5:$AW$50,EB$67,0)</f>
        <v>#N/A</v>
      </c>
      <c r="EC39" s="75" t="e">
        <f>$CD39*VLOOKUP($G39,'Рецепты а.б.'!$B$5:$AW$50,EC$67,0)</f>
        <v>#N/A</v>
      </c>
      <c r="ED39" s="75" t="e">
        <f>$CD39*VLOOKUP($G39,'Рецепты а.б.'!$B$5:$AW$50,ED$67,0)</f>
        <v>#N/A</v>
      </c>
      <c r="EE39" s="75" t="e">
        <f>$CD39*VLOOKUP($G39,'Рецепты а.б.'!$B$5:$AW$50,EE$67,0)</f>
        <v>#N/A</v>
      </c>
      <c r="EF39" s="75" t="e">
        <f>$CF39*VLOOKUP($G39,'Рецепты а.б.'!$B$5:$AW$50,EF$67,0)</f>
        <v>#N/A</v>
      </c>
      <c r="EG39" s="75" t="e">
        <f>$CF39*VLOOKUP($G39,'Рецепты а.б.'!$B$5:$AW$50,EG$67,0)</f>
        <v>#N/A</v>
      </c>
      <c r="EH39" s="75" t="e">
        <f>$CF39*VLOOKUP($G39,'Рецепты а.б.'!$B$5:$AW$50,EH$67,0)</f>
        <v>#N/A</v>
      </c>
      <c r="EI39" s="75" t="e">
        <f>$CF39*VLOOKUP($G39,'Рецепты а.б.'!$B$5:$AW$50,EI$67,0)</f>
        <v>#N/A</v>
      </c>
      <c r="EJ39" s="75" t="e">
        <f>$CF39*VLOOKUP($G39,'Рецепты а.б.'!$B$5:$AW$50,EJ$67,0)</f>
        <v>#N/A</v>
      </c>
      <c r="EK39" s="75" t="e">
        <f>$CF39*VLOOKUP($G39,'Рецепты а.б.'!$B$5:$AW$50,EK$67,0)</f>
        <v>#N/A</v>
      </c>
      <c r="EL39" s="75" t="e">
        <f>$CF39*VLOOKUP($G39,'Рецепты а.б.'!$B$5:$AW$50,EL$67,0)</f>
        <v>#N/A</v>
      </c>
      <c r="EM39" s="75" t="e">
        <f>$CG39*VLOOKUP($G39,'Рецепты а.б.'!$B$5:$AW$50,EM$67,0)</f>
        <v>#N/A</v>
      </c>
      <c r="EN39" s="75" t="e">
        <f>$CG39*VLOOKUP($G39,'Рецепты а.б.'!$B$5:$AW$50,EN$67,0)</f>
        <v>#N/A</v>
      </c>
      <c r="EO39" s="75" t="e">
        <f>$CG39*VLOOKUP($G39,'Рецепты а.б.'!$B$5:$AW$50,EO$67,0)</f>
        <v>#N/A</v>
      </c>
      <c r="EP39" s="75" t="e">
        <f>$CG39*VLOOKUP($G39,'Рецепты а.б.'!$B$5:$AW$50,EP$67,0)</f>
        <v>#N/A</v>
      </c>
      <c r="EQ39" s="75" t="e">
        <f>$CG39*VLOOKUP($G39,'Рецепты а.б.'!$B$5:$AW$50,EQ$67,0)</f>
        <v>#N/A</v>
      </c>
      <c r="ER39" s="75" t="e">
        <f>$CG39*VLOOKUP($G39,'Рецепты а.б.'!$B$5:$AW$50,ER$67,0)</f>
        <v>#N/A</v>
      </c>
      <c r="ES39" s="75" t="e">
        <f>$CG39*VLOOKUP($G39,'Рецепты а.б.'!$B$5:$AW$50,ES$67,0)</f>
        <v>#N/A</v>
      </c>
      <c r="ET39" s="75" t="e">
        <f>$CH39*VLOOKUP($G39,'Рецепты а.б.'!$B$5:$AW$50,ET$67,0)</f>
        <v>#N/A</v>
      </c>
      <c r="EU39" s="75" t="e">
        <f>$CH39*VLOOKUP($G39,'Рецепты а.б.'!$B$5:$AW$50,EU$67,0)</f>
        <v>#N/A</v>
      </c>
      <c r="EV39" s="75" t="e">
        <f>$CH39*VLOOKUP($G39,'Рецепты а.б.'!$B$5:$AW$50,EV$67,0)</f>
        <v>#N/A</v>
      </c>
      <c r="EW39" s="75" t="e">
        <f>$CH39*VLOOKUP($G39,'Рецепты а.б.'!$B$5:$AW$50,EW$67,0)</f>
        <v>#N/A</v>
      </c>
      <c r="EX39" s="75" t="e">
        <f>$CH39*VLOOKUP($G39,'Рецепты а.б.'!$B$5:$AW$50,EX$67,0)</f>
        <v>#N/A</v>
      </c>
      <c r="EY39" s="75" t="e">
        <f>$CI39*VLOOKUP($G39,'Рецепты а.б.'!$B$5:$AW$50,EY$67,0)</f>
        <v>#N/A</v>
      </c>
      <c r="EZ39" s="75" t="e">
        <f>$CI39*VLOOKUP($G39,'Рецепты а.б.'!$B$5:$AW$50,EZ$67,0)</f>
        <v>#N/A</v>
      </c>
      <c r="FA39" s="75" t="e">
        <f>$CI39*VLOOKUP($G39,'Рецепты а.б.'!$B$5:$AW$50,FA$67,0)</f>
        <v>#N/A</v>
      </c>
      <c r="FB39" s="75" t="e">
        <f>$CI39*VLOOKUP($G39,'Рецепты а.б.'!$B$5:$AW$50,FB$67,0)</f>
        <v>#N/A</v>
      </c>
      <c r="FC39" s="75" t="e">
        <f>$CI39*VLOOKUP($G39,'Рецепты а.б.'!$B$5:$AW$50,FC$67,0)</f>
        <v>#N/A</v>
      </c>
      <c r="FD39" s="75" t="e">
        <f>$CI39*VLOOKUP($G39,'Рецепты а.б.'!$B$5:$AW$50,FD$67,0)</f>
        <v>#N/A</v>
      </c>
      <c r="FE39" s="75" t="e">
        <f>$CJ39*VLOOKUP($G39,'Рецепты а.б.'!$B$5:$AW$50,FE$67,0)</f>
        <v>#N/A</v>
      </c>
      <c r="FF39" s="75" t="e">
        <f>$CJ39*VLOOKUP($G39,'Рецепты а.б.'!$B$5:$AW$50,FF$67,0)</f>
        <v>#N/A</v>
      </c>
      <c r="FG39" s="75" t="e">
        <f>$CE39*VLOOKUP($G39,'Рецепты а.б.'!$B$5:$AW$50,FG$67,0)</f>
        <v>#N/A</v>
      </c>
      <c r="FH39" s="75" t="e">
        <f>$CE39*VLOOKUP($G39,'Рецепты а.б.'!$B$5:$AW$50,FH$67,0)</f>
        <v>#N/A</v>
      </c>
      <c r="FI39" s="75" t="e">
        <f>$CE39*VLOOKUP($G39,'Рецепты а.б.'!$B$5:$AW$50,FI$67,0)</f>
        <v>#N/A</v>
      </c>
      <c r="FJ39" s="75" t="e">
        <f>$CE39*VLOOKUP($G39,'Рецепты а.б.'!$B$5:$AW$50,FJ$67,0)</f>
        <v>#N/A</v>
      </c>
      <c r="FK39" s="75" t="e">
        <f>$CE39*VLOOKUP($G39,'Рецепты а.б.'!$B$5:$AW$50,FK$67,0)</f>
        <v>#N/A</v>
      </c>
      <c r="FL39" s="75" t="e">
        <f>$CE39*VLOOKUP($G39,'Рецепты а.б.'!$B$5:$AW$50,FL$67,0)</f>
        <v>#N/A</v>
      </c>
      <c r="FM39" s="75" t="e">
        <f>$CE39*VLOOKUP($G39,'Рецепты а.б.'!$B$5:$AW$50,FM$67,0)</f>
        <v>#N/A</v>
      </c>
      <c r="FN39" s="75" t="e">
        <f>$CE39*VLOOKUP($G39,'Рецепты а.б.'!$B$5:$AW$50,FN$67,0)</f>
        <v>#N/A</v>
      </c>
    </row>
    <row r="40" spans="1:170" s="64" customFormat="1" hidden="1" x14ac:dyDescent="0.2">
      <c r="A40" s="127">
        <f t="shared" si="201"/>
        <v>37</v>
      </c>
      <c r="B40" s="344"/>
      <c r="C40" s="344"/>
      <c r="D40" s="344"/>
      <c r="E40" s="420" t="s">
        <v>331</v>
      </c>
      <c r="F40" s="345"/>
      <c r="G40" s="346"/>
      <c r="H40" s="419" t="s">
        <v>206</v>
      </c>
      <c r="I40" s="347"/>
      <c r="J40" s="348"/>
      <c r="K40" s="348"/>
      <c r="L40" s="348"/>
      <c r="M40" s="348"/>
      <c r="N40" s="348"/>
      <c r="O40" s="65">
        <f t="shared" si="231"/>
        <v>0</v>
      </c>
      <c r="P40" s="342">
        <f t="shared" si="5"/>
        <v>0</v>
      </c>
      <c r="Q40" s="342"/>
      <c r="R40" s="342"/>
      <c r="S40" s="342"/>
      <c r="T40" s="65">
        <f t="shared" si="232"/>
        <v>0</v>
      </c>
      <c r="U40" s="66">
        <f t="shared" si="108"/>
        <v>0</v>
      </c>
      <c r="V40" s="66">
        <f t="shared" si="109"/>
        <v>0</v>
      </c>
      <c r="W40" s="349">
        <f t="shared" si="74"/>
        <v>0</v>
      </c>
      <c r="X40" s="350"/>
      <c r="Y40" s="350"/>
      <c r="Z40" s="351"/>
      <c r="AA40" s="66">
        <f t="shared" si="110"/>
        <v>0</v>
      </c>
      <c r="AB40" s="66">
        <f t="shared" si="111"/>
        <v>0</v>
      </c>
      <c r="AC40" s="66">
        <f t="shared" si="112"/>
        <v>0</v>
      </c>
      <c r="AD40" s="66">
        <f t="shared" si="113"/>
        <v>0</v>
      </c>
      <c r="AE40" s="66">
        <f t="shared" si="14"/>
        <v>0</v>
      </c>
      <c r="AF40" s="66">
        <f t="shared" si="208"/>
        <v>0</v>
      </c>
      <c r="AG40" s="66">
        <f t="shared" si="209"/>
        <v>0</v>
      </c>
      <c r="AH40" s="66">
        <f t="shared" si="210"/>
        <v>0</v>
      </c>
      <c r="AI40" s="66">
        <f t="shared" si="211"/>
        <v>0</v>
      </c>
      <c r="AJ40" s="66">
        <f t="shared" ref="AJ40" si="234">SUM(AF40:AI40)</f>
        <v>0</v>
      </c>
      <c r="AK40" s="67">
        <f t="shared" si="115"/>
        <v>0</v>
      </c>
      <c r="AL40" s="67">
        <f t="shared" si="116"/>
        <v>0</v>
      </c>
      <c r="AM40" s="67">
        <f t="shared" si="117"/>
        <v>0</v>
      </c>
      <c r="AN40" s="67">
        <f t="shared" si="212"/>
        <v>0</v>
      </c>
      <c r="AO40" s="66">
        <f t="shared" si="233"/>
        <v>0</v>
      </c>
      <c r="AP40" s="66">
        <f t="shared" si="119"/>
        <v>0</v>
      </c>
      <c r="AQ40" s="66">
        <f t="shared" si="120"/>
        <v>0</v>
      </c>
      <c r="AR40" s="66">
        <f t="shared" si="121"/>
        <v>0</v>
      </c>
      <c r="AS40" s="66">
        <f t="shared" si="122"/>
        <v>0</v>
      </c>
      <c r="AT40" s="66">
        <f t="shared" si="123"/>
        <v>0</v>
      </c>
      <c r="AU40" s="66">
        <f t="shared" si="124"/>
        <v>0</v>
      </c>
      <c r="AV40" s="66">
        <f t="shared" si="125"/>
        <v>0</v>
      </c>
      <c r="AW40" s="66">
        <f t="shared" si="126"/>
        <v>0</v>
      </c>
      <c r="AX40" s="66">
        <f t="shared" si="127"/>
        <v>0</v>
      </c>
      <c r="AY40" s="66">
        <f t="shared" si="128"/>
        <v>0</v>
      </c>
      <c r="AZ40" s="66">
        <f t="shared" si="129"/>
        <v>0</v>
      </c>
      <c r="BA40" s="66">
        <f t="shared" si="130"/>
        <v>0</v>
      </c>
      <c r="BB40" s="66">
        <f t="shared" si="131"/>
        <v>0</v>
      </c>
      <c r="BC40" s="66">
        <f t="shared" si="132"/>
        <v>0</v>
      </c>
      <c r="BD40" s="66">
        <f t="shared" si="133"/>
        <v>0</v>
      </c>
      <c r="BE40" s="66">
        <f t="shared" si="134"/>
        <v>0</v>
      </c>
      <c r="BF40" s="66">
        <f t="shared" si="135"/>
        <v>0</v>
      </c>
      <c r="BG40" s="66">
        <f t="shared" si="136"/>
        <v>0</v>
      </c>
      <c r="BH40" s="66">
        <f t="shared" si="137"/>
        <v>0</v>
      </c>
      <c r="BI40" s="66">
        <f t="shared" si="138"/>
        <v>0</v>
      </c>
      <c r="BJ40" s="68">
        <f t="shared" si="139"/>
        <v>0</v>
      </c>
      <c r="BK40" s="352">
        <v>1</v>
      </c>
      <c r="BL40" s="352">
        <v>12</v>
      </c>
      <c r="BM40" s="263">
        <v>1</v>
      </c>
      <c r="BN40" s="263">
        <v>12</v>
      </c>
      <c r="BO40" s="69">
        <f t="shared" si="140"/>
        <v>42186</v>
      </c>
      <c r="BP40" s="69">
        <f t="shared" si="141"/>
        <v>42552</v>
      </c>
      <c r="BQ40" s="70">
        <f t="shared" si="213"/>
        <v>6.54E-2</v>
      </c>
      <c r="BR40" s="285">
        <f t="shared" si="214"/>
        <v>0.1391</v>
      </c>
      <c r="BS40" s="68">
        <f t="shared" si="142"/>
        <v>0</v>
      </c>
      <c r="BT40" s="68">
        <f t="shared" si="143"/>
        <v>0</v>
      </c>
      <c r="BU40" s="353"/>
      <c r="BV40" s="71" t="e">
        <f t="shared" si="144"/>
        <v>#DIV/0!</v>
      </c>
      <c r="BW40" s="72"/>
      <c r="BX40" s="73" t="e">
        <f t="shared" si="215"/>
        <v>#DIV/0!</v>
      </c>
      <c r="BY40" s="73" t="e">
        <f t="shared" si="216"/>
        <v>#DIV/0!</v>
      </c>
      <c r="BZ40" s="73" t="e">
        <f t="shared" si="217"/>
        <v>#DIV/0!</v>
      </c>
      <c r="CA40" s="73" t="e">
        <f t="shared" si="218"/>
        <v>#DIV/0!</v>
      </c>
      <c r="CB40" s="73" t="e">
        <f t="shared" si="219"/>
        <v>#DIV/0!</v>
      </c>
      <c r="CD40" s="354"/>
      <c r="CE40" s="354"/>
      <c r="CF40" s="354"/>
      <c r="CG40" s="354"/>
      <c r="CH40" s="354"/>
      <c r="CI40" s="354"/>
      <c r="CJ40" s="354"/>
      <c r="CK40" s="354"/>
      <c r="CL40" s="354"/>
      <c r="CM40" s="354"/>
      <c r="CN40" s="354"/>
      <c r="CO40" s="354"/>
      <c r="CP40" s="354"/>
      <c r="CQ40" s="354"/>
      <c r="CR40" s="354"/>
      <c r="CS40" s="354"/>
      <c r="CT40" s="354"/>
      <c r="CU40" s="354"/>
      <c r="CV40" s="354"/>
      <c r="CW40" s="354"/>
      <c r="CX40" s="354"/>
      <c r="CY40" s="354"/>
      <c r="CZ40" s="354"/>
      <c r="DA40" s="354"/>
      <c r="DB40" s="354"/>
      <c r="DC40" s="354"/>
      <c r="DD40" s="95"/>
      <c r="DE40" s="45"/>
      <c r="DF40" s="76"/>
      <c r="DG40" s="77">
        <f t="shared" si="145"/>
        <v>0</v>
      </c>
      <c r="DH40" s="68">
        <f t="shared" si="146"/>
        <v>0</v>
      </c>
      <c r="DI40" s="78"/>
      <c r="DJ40" s="189"/>
      <c r="DL40" s="146">
        <f t="shared" si="220"/>
        <v>0</v>
      </c>
      <c r="DM40" s="146">
        <f t="shared" si="147"/>
        <v>0</v>
      </c>
      <c r="DN40" s="146">
        <f t="shared" si="221"/>
        <v>0</v>
      </c>
      <c r="DO40" s="146">
        <f t="shared" si="222"/>
        <v>0</v>
      </c>
      <c r="DP40" s="146">
        <f t="shared" si="223"/>
        <v>0</v>
      </c>
      <c r="DQ40" s="146">
        <f t="shared" si="224"/>
        <v>0</v>
      </c>
      <c r="DR40" s="146">
        <f t="shared" si="225"/>
        <v>0</v>
      </c>
      <c r="DS40" s="146">
        <f t="shared" si="226"/>
        <v>0</v>
      </c>
      <c r="DT40" s="146">
        <f t="shared" si="227"/>
        <v>0</v>
      </c>
      <c r="DU40" s="146">
        <f t="shared" si="228"/>
        <v>0</v>
      </c>
      <c r="DV40" s="146">
        <f t="shared" si="229"/>
        <v>0</v>
      </c>
      <c r="DW40" s="181">
        <f t="shared" si="230"/>
        <v>0</v>
      </c>
      <c r="DY40" s="183" t="e">
        <f>$CD40*VLOOKUP($G40,'Рецепты а.б.'!$B$5:$AW$50,DY$67,0)</f>
        <v>#N/A</v>
      </c>
      <c r="DZ40" s="75" t="e">
        <f>$CD40*VLOOKUP($G40,'Рецепты а.б.'!$B$5:$AW$50,DZ$67,0)</f>
        <v>#N/A</v>
      </c>
      <c r="EA40" s="75" t="e">
        <f>$CD40*VLOOKUP($G40,'Рецепты а.б.'!$B$5:$AW$50,EA$67,0)</f>
        <v>#N/A</v>
      </c>
      <c r="EB40" s="75" t="e">
        <f>$CD40*VLOOKUP($G40,'Рецепты а.б.'!$B$5:$AW$50,EB$67,0)</f>
        <v>#N/A</v>
      </c>
      <c r="EC40" s="75" t="e">
        <f>$CD40*VLOOKUP($G40,'Рецепты а.б.'!$B$5:$AW$50,EC$67,0)</f>
        <v>#N/A</v>
      </c>
      <c r="ED40" s="75" t="e">
        <f>$CD40*VLOOKUP($G40,'Рецепты а.б.'!$B$5:$AW$50,ED$67,0)</f>
        <v>#N/A</v>
      </c>
      <c r="EE40" s="75" t="e">
        <f>$CD40*VLOOKUP($G40,'Рецепты а.б.'!$B$5:$AW$50,EE$67,0)</f>
        <v>#N/A</v>
      </c>
      <c r="EF40" s="75" t="e">
        <f>$CF40*VLOOKUP($G40,'Рецепты а.б.'!$B$5:$AW$50,EF$67,0)</f>
        <v>#N/A</v>
      </c>
      <c r="EG40" s="75" t="e">
        <f>$CF40*VLOOKUP($G40,'Рецепты а.б.'!$B$5:$AW$50,EG$67,0)</f>
        <v>#N/A</v>
      </c>
      <c r="EH40" s="75" t="e">
        <f>$CF40*VLOOKUP($G40,'Рецепты а.б.'!$B$5:$AW$50,EH$67,0)</f>
        <v>#N/A</v>
      </c>
      <c r="EI40" s="75" t="e">
        <f>$CF40*VLOOKUP($G40,'Рецепты а.б.'!$B$5:$AW$50,EI$67,0)</f>
        <v>#N/A</v>
      </c>
      <c r="EJ40" s="75" t="e">
        <f>$CF40*VLOOKUP($G40,'Рецепты а.б.'!$B$5:$AW$50,EJ$67,0)</f>
        <v>#N/A</v>
      </c>
      <c r="EK40" s="75" t="e">
        <f>$CF40*VLOOKUP($G40,'Рецепты а.б.'!$B$5:$AW$50,EK$67,0)</f>
        <v>#N/A</v>
      </c>
      <c r="EL40" s="75" t="e">
        <f>$CF40*VLOOKUP($G40,'Рецепты а.б.'!$B$5:$AW$50,EL$67,0)</f>
        <v>#N/A</v>
      </c>
      <c r="EM40" s="75" t="e">
        <f>$CG40*VLOOKUP($G40,'Рецепты а.б.'!$B$5:$AW$50,EM$67,0)</f>
        <v>#N/A</v>
      </c>
      <c r="EN40" s="75" t="e">
        <f>$CG40*VLOOKUP($G40,'Рецепты а.б.'!$B$5:$AW$50,EN$67,0)</f>
        <v>#N/A</v>
      </c>
      <c r="EO40" s="75" t="e">
        <f>$CG40*VLOOKUP($G40,'Рецепты а.б.'!$B$5:$AW$50,EO$67,0)</f>
        <v>#N/A</v>
      </c>
      <c r="EP40" s="75" t="e">
        <f>$CG40*VLOOKUP($G40,'Рецепты а.б.'!$B$5:$AW$50,EP$67,0)</f>
        <v>#N/A</v>
      </c>
      <c r="EQ40" s="75" t="e">
        <f>$CG40*VLOOKUP($G40,'Рецепты а.б.'!$B$5:$AW$50,EQ$67,0)</f>
        <v>#N/A</v>
      </c>
      <c r="ER40" s="75" t="e">
        <f>$CG40*VLOOKUP($G40,'Рецепты а.б.'!$B$5:$AW$50,ER$67,0)</f>
        <v>#N/A</v>
      </c>
      <c r="ES40" s="75" t="e">
        <f>$CG40*VLOOKUP($G40,'Рецепты а.б.'!$B$5:$AW$50,ES$67,0)</f>
        <v>#N/A</v>
      </c>
      <c r="ET40" s="75" t="e">
        <f>$CH40*VLOOKUP($G40,'Рецепты а.б.'!$B$5:$AW$50,ET$67,0)</f>
        <v>#N/A</v>
      </c>
      <c r="EU40" s="75" t="e">
        <f>$CH40*VLOOKUP($G40,'Рецепты а.б.'!$B$5:$AW$50,EU$67,0)</f>
        <v>#N/A</v>
      </c>
      <c r="EV40" s="75" t="e">
        <f>$CH40*VLOOKUP($G40,'Рецепты а.б.'!$B$5:$AW$50,EV$67,0)</f>
        <v>#N/A</v>
      </c>
      <c r="EW40" s="75" t="e">
        <f>$CH40*VLOOKUP($G40,'Рецепты а.б.'!$B$5:$AW$50,EW$67,0)</f>
        <v>#N/A</v>
      </c>
      <c r="EX40" s="75" t="e">
        <f>$CH40*VLOOKUP($G40,'Рецепты а.б.'!$B$5:$AW$50,EX$67,0)</f>
        <v>#N/A</v>
      </c>
      <c r="EY40" s="75" t="e">
        <f>$CI40*VLOOKUP($G40,'Рецепты а.б.'!$B$5:$AW$50,EY$67,0)</f>
        <v>#N/A</v>
      </c>
      <c r="EZ40" s="75" t="e">
        <f>$CI40*VLOOKUP($G40,'Рецепты а.б.'!$B$5:$AW$50,EZ$67,0)</f>
        <v>#N/A</v>
      </c>
      <c r="FA40" s="75" t="e">
        <f>$CI40*VLOOKUP($G40,'Рецепты а.б.'!$B$5:$AW$50,FA$67,0)</f>
        <v>#N/A</v>
      </c>
      <c r="FB40" s="75" t="e">
        <f>$CI40*VLOOKUP($G40,'Рецепты а.б.'!$B$5:$AW$50,FB$67,0)</f>
        <v>#N/A</v>
      </c>
      <c r="FC40" s="75" t="e">
        <f>$CI40*VLOOKUP($G40,'Рецепты а.б.'!$B$5:$AW$50,FC$67,0)</f>
        <v>#N/A</v>
      </c>
      <c r="FD40" s="75" t="e">
        <f>$CI40*VLOOKUP($G40,'Рецепты а.б.'!$B$5:$AW$50,FD$67,0)</f>
        <v>#N/A</v>
      </c>
      <c r="FE40" s="75" t="e">
        <f>$CJ40*VLOOKUP($G40,'Рецепты а.б.'!$B$5:$AW$50,FE$67,0)</f>
        <v>#N/A</v>
      </c>
      <c r="FF40" s="75" t="e">
        <f>$CJ40*VLOOKUP($G40,'Рецепты а.б.'!$B$5:$AW$50,FF$67,0)</f>
        <v>#N/A</v>
      </c>
      <c r="FG40" s="75" t="e">
        <f>$CE40*VLOOKUP($G40,'Рецепты а.б.'!$B$5:$AW$50,FG$67,0)</f>
        <v>#N/A</v>
      </c>
      <c r="FH40" s="75" t="e">
        <f>$CE40*VLOOKUP($G40,'Рецепты а.б.'!$B$5:$AW$50,FH$67,0)</f>
        <v>#N/A</v>
      </c>
      <c r="FI40" s="75" t="e">
        <f>$CE40*VLOOKUP($G40,'Рецепты а.б.'!$B$5:$AW$50,FI$67,0)</f>
        <v>#N/A</v>
      </c>
      <c r="FJ40" s="75" t="e">
        <f>$CE40*VLOOKUP($G40,'Рецепты а.б.'!$B$5:$AW$50,FJ$67,0)</f>
        <v>#N/A</v>
      </c>
      <c r="FK40" s="75" t="e">
        <f>$CE40*VLOOKUP($G40,'Рецепты а.б.'!$B$5:$AW$50,FK$67,0)</f>
        <v>#N/A</v>
      </c>
      <c r="FL40" s="75" t="e">
        <f>$CE40*VLOOKUP($G40,'Рецепты а.б.'!$B$5:$AW$50,FL$67,0)</f>
        <v>#N/A</v>
      </c>
      <c r="FM40" s="75" t="e">
        <f>$CE40*VLOOKUP($G40,'Рецепты а.б.'!$B$5:$AW$50,FM$67,0)</f>
        <v>#N/A</v>
      </c>
      <c r="FN40" s="75" t="e">
        <f>$CE40*VLOOKUP($G40,'Рецепты а.б.'!$B$5:$AW$50,FN$67,0)</f>
        <v>#N/A</v>
      </c>
    </row>
    <row r="41" spans="1:170" s="64" customFormat="1" hidden="1" x14ac:dyDescent="0.2">
      <c r="A41" s="127">
        <f t="shared" si="201"/>
        <v>38</v>
      </c>
      <c r="B41" s="344"/>
      <c r="C41" s="344"/>
      <c r="D41" s="344"/>
      <c r="E41" s="420" t="s">
        <v>331</v>
      </c>
      <c r="F41" s="345"/>
      <c r="G41" s="346"/>
      <c r="H41" s="419" t="s">
        <v>206</v>
      </c>
      <c r="I41" s="347"/>
      <c r="J41" s="348"/>
      <c r="K41" s="348"/>
      <c r="L41" s="348"/>
      <c r="M41" s="348"/>
      <c r="N41" s="348"/>
      <c r="O41" s="65">
        <f t="shared" ref="O41:O42" si="235">SUM(J41:N41)</f>
        <v>0</v>
      </c>
      <c r="P41" s="342">
        <f t="shared" si="5"/>
        <v>0</v>
      </c>
      <c r="Q41" s="342"/>
      <c r="R41" s="342"/>
      <c r="S41" s="342"/>
      <c r="T41" s="65">
        <f t="shared" ref="T41:T42" si="236">SUM(P41:S41)</f>
        <v>0</v>
      </c>
      <c r="U41" s="66">
        <f t="shared" ref="U41:U42" si="237">ROUND(VLOOKUP($H41,рем_содер,6,0)*P41,0)</f>
        <v>0</v>
      </c>
      <c r="V41" s="66">
        <f t="shared" ref="V41:V42" si="238">ROUND(VLOOKUP($H41,рем_содер,6,0)*Q41,0)</f>
        <v>0</v>
      </c>
      <c r="W41" s="349">
        <f t="shared" ref="W41:W42" si="239">ROUND(VLOOKUP(H41,рем_содер,7,0)*(P41+Q41+U41+V41),0)</f>
        <v>0</v>
      </c>
      <c r="X41" s="350"/>
      <c r="Y41" s="350"/>
      <c r="Z41" s="351"/>
      <c r="AA41" s="66">
        <f t="shared" ref="AA41:AA42" si="240">ROUND(VLOOKUP(H41,рем_содер,8,0)*SUM(P41,U41,X41),0)</f>
        <v>0</v>
      </c>
      <c r="AB41" s="66">
        <f t="shared" ref="AB41:AB42" si="241">ROUND(VLOOKUP(H41,рем_содер,8,0)*SUM(Q41,V41,Y41),0)</f>
        <v>0</v>
      </c>
      <c r="AC41" s="66">
        <f t="shared" ref="AC41:AC42" si="242">ROUND(VLOOKUP(H41,рем_содер,8,0)*R41,0)</f>
        <v>0</v>
      </c>
      <c r="AD41" s="66">
        <f t="shared" ref="AD41:AD42" si="243">ROUND(VLOOKUP(H41,рем_содер,8,0)*SUM(S41,W41,Z41),0)</f>
        <v>0</v>
      </c>
      <c r="AE41" s="66">
        <f t="shared" si="14"/>
        <v>0</v>
      </c>
      <c r="AF41" s="66">
        <f t="shared" si="208"/>
        <v>0</v>
      </c>
      <c r="AG41" s="66">
        <f t="shared" si="209"/>
        <v>0</v>
      </c>
      <c r="AH41" s="66">
        <f t="shared" si="210"/>
        <v>0</v>
      </c>
      <c r="AI41" s="66">
        <f t="shared" si="211"/>
        <v>0</v>
      </c>
      <c r="AJ41" s="66">
        <f t="shared" ref="AJ41:AJ42" si="244">SUM(AF41:AI41)</f>
        <v>0</v>
      </c>
      <c r="AK41" s="67">
        <f t="shared" si="20"/>
        <v>0</v>
      </c>
      <c r="AL41" s="67">
        <f t="shared" ref="AL41:AL42" si="245">AG41</f>
        <v>0</v>
      </c>
      <c r="AM41" s="67">
        <f t="shared" ref="AM41:AM42" si="246">AH41</f>
        <v>0</v>
      </c>
      <c r="AN41" s="67">
        <f t="shared" si="212"/>
        <v>0</v>
      </c>
      <c r="AO41" s="66">
        <f t="shared" ref="AO41:AO42" si="247">SUM(AK41:AN41)</f>
        <v>0</v>
      </c>
      <c r="AP41" s="66">
        <f t="shared" ref="AP41:AS42" si="248">ROUND($BQ41*AK41,0)</f>
        <v>0</v>
      </c>
      <c r="AQ41" s="66">
        <f t="shared" si="248"/>
        <v>0</v>
      </c>
      <c r="AR41" s="66">
        <f t="shared" si="248"/>
        <v>0</v>
      </c>
      <c r="AS41" s="66">
        <f t="shared" si="248"/>
        <v>0</v>
      </c>
      <c r="AT41" s="66">
        <f t="shared" ref="AT41:AT42" si="249">SUM(AP41:AS41)</f>
        <v>0</v>
      </c>
      <c r="AU41" s="66">
        <f t="shared" ref="AU41:AU42" si="250">ROUND(18%*SUM(AK41,AP41),0)</f>
        <v>0</v>
      </c>
      <c r="AV41" s="66">
        <f t="shared" ref="AV41:AV42" si="251">ROUND(18%*SUM(AL41,AQ41),0)</f>
        <v>0</v>
      </c>
      <c r="AW41" s="66">
        <f t="shared" ref="AW41:AW42" si="252">ROUND(18%*SUM(AM41,AR41),0)</f>
        <v>0</v>
      </c>
      <c r="AX41" s="66">
        <f t="shared" ref="AX41:AX42" si="253">ROUND(18%*SUM(AN41,AS41),0)</f>
        <v>0</v>
      </c>
      <c r="AY41" s="66">
        <f t="shared" ref="AY41:AY42" si="254">SUM(AU41:AX41)</f>
        <v>0</v>
      </c>
      <c r="AZ41" s="66">
        <f t="shared" ref="AZ41:BC42" si="255">ROUND($BR41*(AF41-AK41),0)</f>
        <v>0</v>
      </c>
      <c r="BA41" s="66">
        <f t="shared" si="255"/>
        <v>0</v>
      </c>
      <c r="BB41" s="66">
        <f t="shared" si="255"/>
        <v>0</v>
      </c>
      <c r="BC41" s="66">
        <f t="shared" si="255"/>
        <v>0</v>
      </c>
      <c r="BD41" s="66">
        <f t="shared" ref="BD41:BD42" si="256">SUM(AZ41:BC41)</f>
        <v>0</v>
      </c>
      <c r="BE41" s="66">
        <f t="shared" ref="BE41:BE42" si="257">ROUND(18%*(AF41-AK41+AZ41),0)</f>
        <v>0</v>
      </c>
      <c r="BF41" s="66">
        <f t="shared" ref="BF41:BF42" si="258">ROUND(18%*(AG41-AL41+BA41),0)</f>
        <v>0</v>
      </c>
      <c r="BG41" s="66">
        <f t="shared" ref="BG41:BG42" si="259">ROUND(18%*(AH41-AM41+BB41),0)</f>
        <v>0</v>
      </c>
      <c r="BH41" s="66">
        <f t="shared" ref="BH41:BH42" si="260">ROUND(18%*(AI41-AN41+BC41),0)</f>
        <v>0</v>
      </c>
      <c r="BI41" s="66">
        <f t="shared" ref="BI41:BI42" si="261">SUM(BE41:BH41)</f>
        <v>0</v>
      </c>
      <c r="BJ41" s="68">
        <f t="shared" ref="BJ41:BJ42" si="262">SUM(AJ41,AT41,AY41,BD41,BI41)</f>
        <v>0</v>
      </c>
      <c r="BK41" s="352">
        <v>1</v>
      </c>
      <c r="BL41" s="352">
        <v>12</v>
      </c>
      <c r="BM41" s="263">
        <v>1</v>
      </c>
      <c r="BN41" s="263">
        <v>12</v>
      </c>
      <c r="BO41" s="69">
        <f t="shared" ref="BO41:BO53" si="263">ROUND((CONCATENATE("15.",BL41,".2015")-CONCATENATE("15.",BK41,".2015"))/2,0)+CONCATENATE("15.",BK41,".2015")</f>
        <v>42186</v>
      </c>
      <c r="BP41" s="69">
        <f t="shared" ref="BP41:BP53" si="264">ROUND((CONCATENATE("15.",BN41,".2016")-CONCATENATE("15.",BM41,".2016"))/2,0)+CONCATENATE("15.",BM41,".2016")</f>
        <v>42552</v>
      </c>
      <c r="BQ41" s="70">
        <f t="shared" si="213"/>
        <v>6.54E-2</v>
      </c>
      <c r="BR41" s="285">
        <f t="shared" si="214"/>
        <v>0.1391</v>
      </c>
      <c r="BS41" s="68">
        <f t="shared" ref="BS41:BS42" si="265">AO41+AT41+AY41</f>
        <v>0</v>
      </c>
      <c r="BT41" s="68">
        <f t="shared" ref="BT41:BT42" si="266">AJ41-AO41+BD41+BI41</f>
        <v>0</v>
      </c>
      <c r="BU41" s="353"/>
      <c r="BV41" s="71" t="e">
        <f t="shared" ref="BV41:BV42" si="267">ROUND(BJ41/BU41,0)</f>
        <v>#DIV/0!</v>
      </c>
      <c r="BW41" s="72"/>
      <c r="BX41" s="73" t="e">
        <f t="shared" si="215"/>
        <v>#DIV/0!</v>
      </c>
      <c r="BY41" s="73" t="e">
        <f t="shared" si="216"/>
        <v>#DIV/0!</v>
      </c>
      <c r="BZ41" s="73" t="e">
        <f t="shared" si="217"/>
        <v>#DIV/0!</v>
      </c>
      <c r="CA41" s="73" t="e">
        <f t="shared" si="218"/>
        <v>#DIV/0!</v>
      </c>
      <c r="CB41" s="73" t="e">
        <f t="shared" si="219"/>
        <v>#DIV/0!</v>
      </c>
      <c r="CD41" s="354"/>
      <c r="CE41" s="354"/>
      <c r="CF41" s="354"/>
      <c r="CG41" s="354"/>
      <c r="CH41" s="354"/>
      <c r="CI41" s="354"/>
      <c r="CJ41" s="354"/>
      <c r="CK41" s="354"/>
      <c r="CL41" s="354"/>
      <c r="CM41" s="354"/>
      <c r="CN41" s="354"/>
      <c r="CO41" s="354"/>
      <c r="CP41" s="354"/>
      <c r="CQ41" s="354"/>
      <c r="CR41" s="354"/>
      <c r="CS41" s="354"/>
      <c r="CT41" s="354"/>
      <c r="CU41" s="354"/>
      <c r="CV41" s="354"/>
      <c r="CW41" s="354"/>
      <c r="CX41" s="354"/>
      <c r="CY41" s="354"/>
      <c r="CZ41" s="354"/>
      <c r="DA41" s="354"/>
      <c r="DB41" s="354"/>
      <c r="DC41" s="354"/>
      <c r="DD41" s="95"/>
      <c r="DE41" s="45"/>
      <c r="DF41" s="76"/>
      <c r="DG41" s="77">
        <f t="shared" ref="DG41:DG42" si="268">IF(DF41=0,0,DF41/BJ41-1)</f>
        <v>0</v>
      </c>
      <c r="DH41" s="68">
        <f t="shared" ref="DH41:DH42" si="269">IF(DF41=0,0,BJ41-DF41)</f>
        <v>0</v>
      </c>
      <c r="DI41" s="78"/>
      <c r="DJ41" s="189"/>
      <c r="DL41" s="146">
        <f t="shared" si="220"/>
        <v>0</v>
      </c>
      <c r="DM41" s="146">
        <f t="shared" ref="DM41:DM53" si="270">CP41</f>
        <v>0</v>
      </c>
      <c r="DN41" s="146">
        <f t="shared" si="221"/>
        <v>0</v>
      </c>
      <c r="DO41" s="146">
        <f t="shared" si="222"/>
        <v>0</v>
      </c>
      <c r="DP41" s="146">
        <f t="shared" si="223"/>
        <v>0</v>
      </c>
      <c r="DQ41" s="146">
        <f t="shared" si="224"/>
        <v>0</v>
      </c>
      <c r="DR41" s="146">
        <f t="shared" si="225"/>
        <v>0</v>
      </c>
      <c r="DS41" s="146">
        <f t="shared" si="226"/>
        <v>0</v>
      </c>
      <c r="DT41" s="146">
        <f t="shared" si="227"/>
        <v>0</v>
      </c>
      <c r="DU41" s="146">
        <f t="shared" si="228"/>
        <v>0</v>
      </c>
      <c r="DV41" s="146">
        <f t="shared" si="229"/>
        <v>0</v>
      </c>
      <c r="DW41" s="181">
        <f t="shared" si="230"/>
        <v>0</v>
      </c>
      <c r="DY41" s="183" t="e">
        <f>$CD41*VLOOKUP($G41,'Рецепты а.б.'!$B$5:$AW$50,DY$67,0)</f>
        <v>#N/A</v>
      </c>
      <c r="DZ41" s="75" t="e">
        <f>$CD41*VLOOKUP($G41,'Рецепты а.б.'!$B$5:$AW$50,DZ$67,0)</f>
        <v>#N/A</v>
      </c>
      <c r="EA41" s="75" t="e">
        <f>$CD41*VLOOKUP($G41,'Рецепты а.б.'!$B$5:$AW$50,EA$67,0)</f>
        <v>#N/A</v>
      </c>
      <c r="EB41" s="75" t="e">
        <f>$CD41*VLOOKUP($G41,'Рецепты а.б.'!$B$5:$AW$50,EB$67,0)</f>
        <v>#N/A</v>
      </c>
      <c r="EC41" s="75" t="e">
        <f>$CD41*VLOOKUP($G41,'Рецепты а.б.'!$B$5:$AW$50,EC$67,0)</f>
        <v>#N/A</v>
      </c>
      <c r="ED41" s="75" t="e">
        <f>$CD41*VLOOKUP($G41,'Рецепты а.б.'!$B$5:$AW$50,ED$67,0)</f>
        <v>#N/A</v>
      </c>
      <c r="EE41" s="75" t="e">
        <f>$CD41*VLOOKUP($G41,'Рецепты а.б.'!$B$5:$AW$50,EE$67,0)</f>
        <v>#N/A</v>
      </c>
      <c r="EF41" s="75" t="e">
        <f>$CF41*VLOOKUP($G41,'Рецепты а.б.'!$B$5:$AW$50,EF$67,0)</f>
        <v>#N/A</v>
      </c>
      <c r="EG41" s="75" t="e">
        <f>$CF41*VLOOKUP($G41,'Рецепты а.б.'!$B$5:$AW$50,EG$67,0)</f>
        <v>#N/A</v>
      </c>
      <c r="EH41" s="75" t="e">
        <f>$CF41*VLOOKUP($G41,'Рецепты а.б.'!$B$5:$AW$50,EH$67,0)</f>
        <v>#N/A</v>
      </c>
      <c r="EI41" s="75" t="e">
        <f>$CF41*VLOOKUP($G41,'Рецепты а.б.'!$B$5:$AW$50,EI$67,0)</f>
        <v>#N/A</v>
      </c>
      <c r="EJ41" s="75" t="e">
        <f>$CF41*VLOOKUP($G41,'Рецепты а.б.'!$B$5:$AW$50,EJ$67,0)</f>
        <v>#N/A</v>
      </c>
      <c r="EK41" s="75" t="e">
        <f>$CF41*VLOOKUP($G41,'Рецепты а.б.'!$B$5:$AW$50,EK$67,0)</f>
        <v>#N/A</v>
      </c>
      <c r="EL41" s="75" t="e">
        <f>$CF41*VLOOKUP($G41,'Рецепты а.б.'!$B$5:$AW$50,EL$67,0)</f>
        <v>#N/A</v>
      </c>
      <c r="EM41" s="75" t="e">
        <f>$CG41*VLOOKUP($G41,'Рецепты а.б.'!$B$5:$AW$50,EM$67,0)</f>
        <v>#N/A</v>
      </c>
      <c r="EN41" s="75" t="e">
        <f>$CG41*VLOOKUP($G41,'Рецепты а.б.'!$B$5:$AW$50,EN$67,0)</f>
        <v>#N/A</v>
      </c>
      <c r="EO41" s="75" t="e">
        <f>$CG41*VLOOKUP($G41,'Рецепты а.б.'!$B$5:$AW$50,EO$67,0)</f>
        <v>#N/A</v>
      </c>
      <c r="EP41" s="75" t="e">
        <f>$CG41*VLOOKUP($G41,'Рецепты а.б.'!$B$5:$AW$50,EP$67,0)</f>
        <v>#N/A</v>
      </c>
      <c r="EQ41" s="75" t="e">
        <f>$CG41*VLOOKUP($G41,'Рецепты а.б.'!$B$5:$AW$50,EQ$67,0)</f>
        <v>#N/A</v>
      </c>
      <c r="ER41" s="75" t="e">
        <f>$CG41*VLOOKUP($G41,'Рецепты а.б.'!$B$5:$AW$50,ER$67,0)</f>
        <v>#N/A</v>
      </c>
      <c r="ES41" s="75" t="e">
        <f>$CG41*VLOOKUP($G41,'Рецепты а.б.'!$B$5:$AW$50,ES$67,0)</f>
        <v>#N/A</v>
      </c>
      <c r="ET41" s="75" t="e">
        <f>$CH41*VLOOKUP($G41,'Рецепты а.б.'!$B$5:$AW$50,ET$67,0)</f>
        <v>#N/A</v>
      </c>
      <c r="EU41" s="75" t="e">
        <f>$CH41*VLOOKUP($G41,'Рецепты а.б.'!$B$5:$AW$50,EU$67,0)</f>
        <v>#N/A</v>
      </c>
      <c r="EV41" s="75" t="e">
        <f>$CH41*VLOOKUP($G41,'Рецепты а.б.'!$B$5:$AW$50,EV$67,0)</f>
        <v>#N/A</v>
      </c>
      <c r="EW41" s="75" t="e">
        <f>$CH41*VLOOKUP($G41,'Рецепты а.б.'!$B$5:$AW$50,EW$67,0)</f>
        <v>#N/A</v>
      </c>
      <c r="EX41" s="75" t="e">
        <f>$CH41*VLOOKUP($G41,'Рецепты а.б.'!$B$5:$AW$50,EX$67,0)</f>
        <v>#N/A</v>
      </c>
      <c r="EY41" s="75" t="e">
        <f>$CI41*VLOOKUP($G41,'Рецепты а.б.'!$B$5:$AW$50,EY$67,0)</f>
        <v>#N/A</v>
      </c>
      <c r="EZ41" s="75" t="e">
        <f>$CI41*VLOOKUP($G41,'Рецепты а.б.'!$B$5:$AW$50,EZ$67,0)</f>
        <v>#N/A</v>
      </c>
      <c r="FA41" s="75" t="e">
        <f>$CI41*VLOOKUP($G41,'Рецепты а.б.'!$B$5:$AW$50,FA$67,0)</f>
        <v>#N/A</v>
      </c>
      <c r="FB41" s="75" t="e">
        <f>$CI41*VLOOKUP($G41,'Рецепты а.б.'!$B$5:$AW$50,FB$67,0)</f>
        <v>#N/A</v>
      </c>
      <c r="FC41" s="75" t="e">
        <f>$CI41*VLOOKUP($G41,'Рецепты а.б.'!$B$5:$AW$50,FC$67,0)</f>
        <v>#N/A</v>
      </c>
      <c r="FD41" s="75" t="e">
        <f>$CI41*VLOOKUP($G41,'Рецепты а.б.'!$B$5:$AW$50,FD$67,0)</f>
        <v>#N/A</v>
      </c>
      <c r="FE41" s="75" t="e">
        <f>$CJ41*VLOOKUP($G41,'Рецепты а.б.'!$B$5:$AW$50,FE$67,0)</f>
        <v>#N/A</v>
      </c>
      <c r="FF41" s="75" t="e">
        <f>$CJ41*VLOOKUP($G41,'Рецепты а.б.'!$B$5:$AW$50,FF$67,0)</f>
        <v>#N/A</v>
      </c>
      <c r="FG41" s="75" t="e">
        <f>$CE41*VLOOKUP($G41,'Рецепты а.б.'!$B$5:$AW$50,FG$67,0)</f>
        <v>#N/A</v>
      </c>
      <c r="FH41" s="75" t="e">
        <f>$CE41*VLOOKUP($G41,'Рецепты а.б.'!$B$5:$AW$50,FH$67,0)</f>
        <v>#N/A</v>
      </c>
      <c r="FI41" s="75" t="e">
        <f>$CE41*VLOOKUP($G41,'Рецепты а.б.'!$B$5:$AW$50,FI$67,0)</f>
        <v>#N/A</v>
      </c>
      <c r="FJ41" s="75" t="e">
        <f>$CE41*VLOOKUP($G41,'Рецепты а.б.'!$B$5:$AW$50,FJ$67,0)</f>
        <v>#N/A</v>
      </c>
      <c r="FK41" s="75" t="e">
        <f>$CE41*VLOOKUP($G41,'Рецепты а.б.'!$B$5:$AW$50,FK$67,0)</f>
        <v>#N/A</v>
      </c>
      <c r="FL41" s="75" t="e">
        <f>$CE41*VLOOKUP($G41,'Рецепты а.б.'!$B$5:$AW$50,FL$67,0)</f>
        <v>#N/A</v>
      </c>
      <c r="FM41" s="75" t="e">
        <f>$CE41*VLOOKUP($G41,'Рецепты а.б.'!$B$5:$AW$50,FM$67,0)</f>
        <v>#N/A</v>
      </c>
      <c r="FN41" s="75" t="e">
        <f>$CE41*VLOOKUP($G41,'Рецепты а.б.'!$B$5:$AW$50,FN$67,0)</f>
        <v>#N/A</v>
      </c>
    </row>
    <row r="42" spans="1:170" s="64" customFormat="1" hidden="1" x14ac:dyDescent="0.2">
      <c r="A42" s="127">
        <f t="shared" si="201"/>
        <v>39</v>
      </c>
      <c r="B42" s="344"/>
      <c r="C42" s="344"/>
      <c r="D42" s="344"/>
      <c r="E42" s="420" t="s">
        <v>331</v>
      </c>
      <c r="F42" s="345"/>
      <c r="G42" s="346"/>
      <c r="H42" s="419" t="s">
        <v>206</v>
      </c>
      <c r="I42" s="347"/>
      <c r="J42" s="348"/>
      <c r="K42" s="348"/>
      <c r="L42" s="348"/>
      <c r="M42" s="348"/>
      <c r="N42" s="348"/>
      <c r="O42" s="65">
        <f t="shared" si="235"/>
        <v>0</v>
      </c>
      <c r="P42" s="342">
        <f t="shared" si="5"/>
        <v>0</v>
      </c>
      <c r="Q42" s="342"/>
      <c r="R42" s="342"/>
      <c r="S42" s="342"/>
      <c r="T42" s="65">
        <f t="shared" si="236"/>
        <v>0</v>
      </c>
      <c r="U42" s="66">
        <f t="shared" si="237"/>
        <v>0</v>
      </c>
      <c r="V42" s="66">
        <f t="shared" si="238"/>
        <v>0</v>
      </c>
      <c r="W42" s="349">
        <f t="shared" si="239"/>
        <v>0</v>
      </c>
      <c r="X42" s="350"/>
      <c r="Y42" s="350"/>
      <c r="Z42" s="351"/>
      <c r="AA42" s="66">
        <f t="shared" si="240"/>
        <v>0</v>
      </c>
      <c r="AB42" s="66">
        <f t="shared" si="241"/>
        <v>0</v>
      </c>
      <c r="AC42" s="66">
        <f t="shared" si="242"/>
        <v>0</v>
      </c>
      <c r="AD42" s="66">
        <f t="shared" si="243"/>
        <v>0</v>
      </c>
      <c r="AE42" s="66">
        <f t="shared" si="14"/>
        <v>0</v>
      </c>
      <c r="AF42" s="66">
        <f t="shared" si="208"/>
        <v>0</v>
      </c>
      <c r="AG42" s="66">
        <f t="shared" si="209"/>
        <v>0</v>
      </c>
      <c r="AH42" s="66">
        <f t="shared" si="210"/>
        <v>0</v>
      </c>
      <c r="AI42" s="66">
        <f t="shared" si="211"/>
        <v>0</v>
      </c>
      <c r="AJ42" s="66">
        <f t="shared" si="244"/>
        <v>0</v>
      </c>
      <c r="AK42" s="67">
        <f t="shared" si="20"/>
        <v>0</v>
      </c>
      <c r="AL42" s="67">
        <f t="shared" si="245"/>
        <v>0</v>
      </c>
      <c r="AM42" s="67">
        <f t="shared" si="246"/>
        <v>0</v>
      </c>
      <c r="AN42" s="67">
        <f t="shared" si="212"/>
        <v>0</v>
      </c>
      <c r="AO42" s="66">
        <f t="shared" si="247"/>
        <v>0</v>
      </c>
      <c r="AP42" s="66">
        <f t="shared" si="248"/>
        <v>0</v>
      </c>
      <c r="AQ42" s="66">
        <f t="shared" si="248"/>
        <v>0</v>
      </c>
      <c r="AR42" s="66">
        <f t="shared" si="248"/>
        <v>0</v>
      </c>
      <c r="AS42" s="66">
        <f t="shared" si="248"/>
        <v>0</v>
      </c>
      <c r="AT42" s="66">
        <f t="shared" si="249"/>
        <v>0</v>
      </c>
      <c r="AU42" s="66">
        <f t="shared" si="250"/>
        <v>0</v>
      </c>
      <c r="AV42" s="66">
        <f t="shared" si="251"/>
        <v>0</v>
      </c>
      <c r="AW42" s="66">
        <f t="shared" si="252"/>
        <v>0</v>
      </c>
      <c r="AX42" s="66">
        <f t="shared" si="253"/>
        <v>0</v>
      </c>
      <c r="AY42" s="66">
        <f t="shared" si="254"/>
        <v>0</v>
      </c>
      <c r="AZ42" s="66">
        <f t="shared" si="255"/>
        <v>0</v>
      </c>
      <c r="BA42" s="66">
        <f t="shared" si="255"/>
        <v>0</v>
      </c>
      <c r="BB42" s="66">
        <f t="shared" si="255"/>
        <v>0</v>
      </c>
      <c r="BC42" s="66">
        <f t="shared" si="255"/>
        <v>0</v>
      </c>
      <c r="BD42" s="66">
        <f t="shared" si="256"/>
        <v>0</v>
      </c>
      <c r="BE42" s="66">
        <f t="shared" si="257"/>
        <v>0</v>
      </c>
      <c r="BF42" s="66">
        <f t="shared" si="258"/>
        <v>0</v>
      </c>
      <c r="BG42" s="66">
        <f t="shared" si="259"/>
        <v>0</v>
      </c>
      <c r="BH42" s="66">
        <f t="shared" si="260"/>
        <v>0</v>
      </c>
      <c r="BI42" s="66">
        <f t="shared" si="261"/>
        <v>0</v>
      </c>
      <c r="BJ42" s="68">
        <f t="shared" si="262"/>
        <v>0</v>
      </c>
      <c r="BK42" s="352">
        <v>1</v>
      </c>
      <c r="BL42" s="352">
        <v>12</v>
      </c>
      <c r="BM42" s="263">
        <v>1</v>
      </c>
      <c r="BN42" s="263">
        <v>12</v>
      </c>
      <c r="BO42" s="69">
        <f t="shared" si="263"/>
        <v>42186</v>
      </c>
      <c r="BP42" s="69">
        <f t="shared" si="264"/>
        <v>42552</v>
      </c>
      <c r="BQ42" s="70">
        <f t="shared" si="213"/>
        <v>6.54E-2</v>
      </c>
      <c r="BR42" s="285">
        <f t="shared" si="214"/>
        <v>0.1391</v>
      </c>
      <c r="BS42" s="68">
        <f t="shared" si="265"/>
        <v>0</v>
      </c>
      <c r="BT42" s="68">
        <f t="shared" si="266"/>
        <v>0</v>
      </c>
      <c r="BU42" s="353"/>
      <c r="BV42" s="71" t="e">
        <f t="shared" si="267"/>
        <v>#DIV/0!</v>
      </c>
      <c r="BW42" s="72"/>
      <c r="BX42" s="73" t="e">
        <f t="shared" si="215"/>
        <v>#DIV/0!</v>
      </c>
      <c r="BY42" s="73" t="e">
        <f t="shared" si="216"/>
        <v>#DIV/0!</v>
      </c>
      <c r="BZ42" s="73" t="e">
        <f t="shared" si="217"/>
        <v>#DIV/0!</v>
      </c>
      <c r="CA42" s="73" t="e">
        <f t="shared" si="218"/>
        <v>#DIV/0!</v>
      </c>
      <c r="CB42" s="73" t="e">
        <f t="shared" si="219"/>
        <v>#DIV/0!</v>
      </c>
      <c r="CD42" s="354"/>
      <c r="CE42" s="354"/>
      <c r="CF42" s="354"/>
      <c r="CG42" s="354"/>
      <c r="CH42" s="354"/>
      <c r="CI42" s="354"/>
      <c r="CJ42" s="354"/>
      <c r="CK42" s="354"/>
      <c r="CL42" s="354"/>
      <c r="CM42" s="354"/>
      <c r="CN42" s="354"/>
      <c r="CO42" s="354"/>
      <c r="CP42" s="354"/>
      <c r="CQ42" s="354"/>
      <c r="CR42" s="354"/>
      <c r="CS42" s="354"/>
      <c r="CT42" s="354"/>
      <c r="CU42" s="354"/>
      <c r="CV42" s="354"/>
      <c r="CW42" s="354"/>
      <c r="CX42" s="354"/>
      <c r="CY42" s="354"/>
      <c r="CZ42" s="354"/>
      <c r="DA42" s="354"/>
      <c r="DB42" s="354"/>
      <c r="DC42" s="354"/>
      <c r="DD42" s="95"/>
      <c r="DE42" s="45"/>
      <c r="DF42" s="76"/>
      <c r="DG42" s="77">
        <f t="shared" si="268"/>
        <v>0</v>
      </c>
      <c r="DH42" s="68">
        <f t="shared" si="269"/>
        <v>0</v>
      </c>
      <c r="DI42" s="78"/>
      <c r="DJ42" s="189"/>
      <c r="DL42" s="146">
        <f t="shared" si="220"/>
        <v>0</v>
      </c>
      <c r="DM42" s="146">
        <f t="shared" si="270"/>
        <v>0</v>
      </c>
      <c r="DN42" s="146">
        <f t="shared" si="221"/>
        <v>0</v>
      </c>
      <c r="DO42" s="146">
        <f t="shared" si="222"/>
        <v>0</v>
      </c>
      <c r="DP42" s="146">
        <f t="shared" si="223"/>
        <v>0</v>
      </c>
      <c r="DQ42" s="146">
        <f t="shared" si="224"/>
        <v>0</v>
      </c>
      <c r="DR42" s="146">
        <f t="shared" si="225"/>
        <v>0</v>
      </c>
      <c r="DS42" s="146">
        <f t="shared" si="226"/>
        <v>0</v>
      </c>
      <c r="DT42" s="146">
        <f t="shared" si="227"/>
        <v>0</v>
      </c>
      <c r="DU42" s="146">
        <f t="shared" si="228"/>
        <v>0</v>
      </c>
      <c r="DV42" s="146">
        <f t="shared" si="229"/>
        <v>0</v>
      </c>
      <c r="DW42" s="181">
        <f t="shared" si="230"/>
        <v>0</v>
      </c>
      <c r="DY42" s="183" t="e">
        <f>$CD42*VLOOKUP($G42,'Рецепты а.б.'!$B$5:$AW$50,DY$67,0)</f>
        <v>#N/A</v>
      </c>
      <c r="DZ42" s="75" t="e">
        <f>$CD42*VLOOKUP($G42,'Рецепты а.б.'!$B$5:$AW$50,DZ$67,0)</f>
        <v>#N/A</v>
      </c>
      <c r="EA42" s="75" t="e">
        <f>$CD42*VLOOKUP($G42,'Рецепты а.б.'!$B$5:$AW$50,EA$67,0)</f>
        <v>#N/A</v>
      </c>
      <c r="EB42" s="75" t="e">
        <f>$CD42*VLOOKUP($G42,'Рецепты а.б.'!$B$5:$AW$50,EB$67,0)</f>
        <v>#N/A</v>
      </c>
      <c r="EC42" s="75" t="e">
        <f>$CD42*VLOOKUP($G42,'Рецепты а.б.'!$B$5:$AW$50,EC$67,0)</f>
        <v>#N/A</v>
      </c>
      <c r="ED42" s="75" t="e">
        <f>$CD42*VLOOKUP($G42,'Рецепты а.б.'!$B$5:$AW$50,ED$67,0)</f>
        <v>#N/A</v>
      </c>
      <c r="EE42" s="75" t="e">
        <f>$CD42*VLOOKUP($G42,'Рецепты а.б.'!$B$5:$AW$50,EE$67,0)</f>
        <v>#N/A</v>
      </c>
      <c r="EF42" s="75" t="e">
        <f>$CF42*VLOOKUP($G42,'Рецепты а.б.'!$B$5:$AW$50,EF$67,0)</f>
        <v>#N/A</v>
      </c>
      <c r="EG42" s="75" t="e">
        <f>$CF42*VLOOKUP($G42,'Рецепты а.б.'!$B$5:$AW$50,EG$67,0)</f>
        <v>#N/A</v>
      </c>
      <c r="EH42" s="75" t="e">
        <f>$CF42*VLOOKUP($G42,'Рецепты а.б.'!$B$5:$AW$50,EH$67,0)</f>
        <v>#N/A</v>
      </c>
      <c r="EI42" s="75" t="e">
        <f>$CF42*VLOOKUP($G42,'Рецепты а.б.'!$B$5:$AW$50,EI$67,0)</f>
        <v>#N/A</v>
      </c>
      <c r="EJ42" s="75" t="e">
        <f>$CF42*VLOOKUP($G42,'Рецепты а.б.'!$B$5:$AW$50,EJ$67,0)</f>
        <v>#N/A</v>
      </c>
      <c r="EK42" s="75" t="e">
        <f>$CF42*VLOOKUP($G42,'Рецепты а.б.'!$B$5:$AW$50,EK$67,0)</f>
        <v>#N/A</v>
      </c>
      <c r="EL42" s="75" t="e">
        <f>$CF42*VLOOKUP($G42,'Рецепты а.б.'!$B$5:$AW$50,EL$67,0)</f>
        <v>#N/A</v>
      </c>
      <c r="EM42" s="75" t="e">
        <f>$CG42*VLOOKUP($G42,'Рецепты а.б.'!$B$5:$AW$50,EM$67,0)</f>
        <v>#N/A</v>
      </c>
      <c r="EN42" s="75" t="e">
        <f>$CG42*VLOOKUP($G42,'Рецепты а.б.'!$B$5:$AW$50,EN$67,0)</f>
        <v>#N/A</v>
      </c>
      <c r="EO42" s="75" t="e">
        <f>$CG42*VLOOKUP($G42,'Рецепты а.б.'!$B$5:$AW$50,EO$67,0)</f>
        <v>#N/A</v>
      </c>
      <c r="EP42" s="75" t="e">
        <f>$CG42*VLOOKUP($G42,'Рецепты а.б.'!$B$5:$AW$50,EP$67,0)</f>
        <v>#N/A</v>
      </c>
      <c r="EQ42" s="75" t="e">
        <f>$CG42*VLOOKUP($G42,'Рецепты а.б.'!$B$5:$AW$50,EQ$67,0)</f>
        <v>#N/A</v>
      </c>
      <c r="ER42" s="75" t="e">
        <f>$CG42*VLOOKUP($G42,'Рецепты а.б.'!$B$5:$AW$50,ER$67,0)</f>
        <v>#N/A</v>
      </c>
      <c r="ES42" s="75" t="e">
        <f>$CG42*VLOOKUP($G42,'Рецепты а.б.'!$B$5:$AW$50,ES$67,0)</f>
        <v>#N/A</v>
      </c>
      <c r="ET42" s="75" t="e">
        <f>$CH42*VLOOKUP($G42,'Рецепты а.б.'!$B$5:$AW$50,ET$67,0)</f>
        <v>#N/A</v>
      </c>
      <c r="EU42" s="75" t="e">
        <f>$CH42*VLOOKUP($G42,'Рецепты а.б.'!$B$5:$AW$50,EU$67,0)</f>
        <v>#N/A</v>
      </c>
      <c r="EV42" s="75" t="e">
        <f>$CH42*VLOOKUP($G42,'Рецепты а.б.'!$B$5:$AW$50,EV$67,0)</f>
        <v>#N/A</v>
      </c>
      <c r="EW42" s="75" t="e">
        <f>$CH42*VLOOKUP($G42,'Рецепты а.б.'!$B$5:$AW$50,EW$67,0)</f>
        <v>#N/A</v>
      </c>
      <c r="EX42" s="75" t="e">
        <f>$CH42*VLOOKUP($G42,'Рецепты а.б.'!$B$5:$AW$50,EX$67,0)</f>
        <v>#N/A</v>
      </c>
      <c r="EY42" s="75" t="e">
        <f>$CI42*VLOOKUP($G42,'Рецепты а.б.'!$B$5:$AW$50,EY$67,0)</f>
        <v>#N/A</v>
      </c>
      <c r="EZ42" s="75" t="e">
        <f>$CI42*VLOOKUP($G42,'Рецепты а.б.'!$B$5:$AW$50,EZ$67,0)</f>
        <v>#N/A</v>
      </c>
      <c r="FA42" s="75" t="e">
        <f>$CI42*VLOOKUP($G42,'Рецепты а.б.'!$B$5:$AW$50,FA$67,0)</f>
        <v>#N/A</v>
      </c>
      <c r="FB42" s="75" t="e">
        <f>$CI42*VLOOKUP($G42,'Рецепты а.б.'!$B$5:$AW$50,FB$67,0)</f>
        <v>#N/A</v>
      </c>
      <c r="FC42" s="75" t="e">
        <f>$CI42*VLOOKUP($G42,'Рецепты а.б.'!$B$5:$AW$50,FC$67,0)</f>
        <v>#N/A</v>
      </c>
      <c r="FD42" s="75" t="e">
        <f>$CI42*VLOOKUP($G42,'Рецепты а.б.'!$B$5:$AW$50,FD$67,0)</f>
        <v>#N/A</v>
      </c>
      <c r="FE42" s="75" t="e">
        <f>$CJ42*VLOOKUP($G42,'Рецепты а.б.'!$B$5:$AW$50,FE$67,0)</f>
        <v>#N/A</v>
      </c>
      <c r="FF42" s="75" t="e">
        <f>$CJ42*VLOOKUP($G42,'Рецепты а.б.'!$B$5:$AW$50,FF$67,0)</f>
        <v>#N/A</v>
      </c>
      <c r="FG42" s="75" t="e">
        <f>$CE42*VLOOKUP($G42,'Рецепты а.б.'!$B$5:$AW$50,FG$67,0)</f>
        <v>#N/A</v>
      </c>
      <c r="FH42" s="75" t="e">
        <f>$CE42*VLOOKUP($G42,'Рецепты а.б.'!$B$5:$AW$50,FH$67,0)</f>
        <v>#N/A</v>
      </c>
      <c r="FI42" s="75" t="e">
        <f>$CE42*VLOOKUP($G42,'Рецепты а.б.'!$B$5:$AW$50,FI$67,0)</f>
        <v>#N/A</v>
      </c>
      <c r="FJ42" s="75" t="e">
        <f>$CE42*VLOOKUP($G42,'Рецепты а.б.'!$B$5:$AW$50,FJ$67,0)</f>
        <v>#N/A</v>
      </c>
      <c r="FK42" s="75" t="e">
        <f>$CE42*VLOOKUP($G42,'Рецепты а.б.'!$B$5:$AW$50,FK$67,0)</f>
        <v>#N/A</v>
      </c>
      <c r="FL42" s="75" t="e">
        <f>$CE42*VLOOKUP($G42,'Рецепты а.б.'!$B$5:$AW$50,FL$67,0)</f>
        <v>#N/A</v>
      </c>
      <c r="FM42" s="75" t="e">
        <f>$CE42*VLOOKUP($G42,'Рецепты а.б.'!$B$5:$AW$50,FM$67,0)</f>
        <v>#N/A</v>
      </c>
      <c r="FN42" s="75" t="e">
        <f>$CE42*VLOOKUP($G42,'Рецепты а.б.'!$B$5:$AW$50,FN$67,0)</f>
        <v>#N/A</v>
      </c>
    </row>
    <row r="43" spans="1:170" s="64" customFormat="1" hidden="1" x14ac:dyDescent="0.2">
      <c r="A43" s="127">
        <f t="shared" si="201"/>
        <v>40</v>
      </c>
      <c r="B43" s="344"/>
      <c r="C43" s="344"/>
      <c r="D43" s="344"/>
      <c r="E43" s="420" t="s">
        <v>331</v>
      </c>
      <c r="F43" s="345"/>
      <c r="G43" s="346"/>
      <c r="H43" s="419" t="s">
        <v>206</v>
      </c>
      <c r="I43" s="347"/>
      <c r="J43" s="348"/>
      <c r="K43" s="348"/>
      <c r="L43" s="348"/>
      <c r="M43" s="348"/>
      <c r="N43" s="348"/>
      <c r="O43" s="65">
        <f t="shared" si="4"/>
        <v>0</v>
      </c>
      <c r="P43" s="342">
        <f t="shared" si="5"/>
        <v>0</v>
      </c>
      <c r="Q43" s="342"/>
      <c r="R43" s="342"/>
      <c r="S43" s="342"/>
      <c r="T43" s="65">
        <f t="shared" si="6"/>
        <v>0</v>
      </c>
      <c r="U43" s="66">
        <f t="shared" si="7"/>
        <v>0</v>
      </c>
      <c r="V43" s="66">
        <f t="shared" si="8"/>
        <v>0</v>
      </c>
      <c r="W43" s="349">
        <f t="shared" ref="W43:W53" si="271">ROUND(VLOOKUP(H43,рем_содер,7,0)*(P43+Q43+U43+V43),0)</f>
        <v>0</v>
      </c>
      <c r="X43" s="350"/>
      <c r="Y43" s="350"/>
      <c r="Z43" s="351"/>
      <c r="AA43" s="66">
        <f t="shared" si="10"/>
        <v>0</v>
      </c>
      <c r="AB43" s="66">
        <f t="shared" si="11"/>
        <v>0</v>
      </c>
      <c r="AC43" s="66">
        <f t="shared" si="12"/>
        <v>0</v>
      </c>
      <c r="AD43" s="66">
        <f t="shared" si="13"/>
        <v>0</v>
      </c>
      <c r="AE43" s="66">
        <f t="shared" si="14"/>
        <v>0</v>
      </c>
      <c r="AF43" s="66">
        <f t="shared" si="208"/>
        <v>0</v>
      </c>
      <c r="AG43" s="66">
        <f t="shared" si="209"/>
        <v>0</v>
      </c>
      <c r="AH43" s="66">
        <f t="shared" si="210"/>
        <v>0</v>
      </c>
      <c r="AI43" s="66">
        <f t="shared" si="211"/>
        <v>0</v>
      </c>
      <c r="AJ43" s="66">
        <f t="shared" si="19"/>
        <v>0</v>
      </c>
      <c r="AK43" s="67">
        <f t="shared" ref="AK43" si="272">AF43</f>
        <v>0</v>
      </c>
      <c r="AL43" s="67">
        <f t="shared" ref="AL43" si="273">AG43</f>
        <v>0</v>
      </c>
      <c r="AM43" s="67">
        <f t="shared" ref="AM43" si="274">AH43</f>
        <v>0</v>
      </c>
      <c r="AN43" s="67">
        <f t="shared" si="212"/>
        <v>0</v>
      </c>
      <c r="AO43" s="66">
        <f t="shared" si="24"/>
        <v>0</v>
      </c>
      <c r="AP43" s="66">
        <f t="shared" si="25"/>
        <v>0</v>
      </c>
      <c r="AQ43" s="66">
        <f t="shared" si="26"/>
        <v>0</v>
      </c>
      <c r="AR43" s="66">
        <f t="shared" si="27"/>
        <v>0</v>
      </c>
      <c r="AS43" s="66">
        <f t="shared" si="28"/>
        <v>0</v>
      </c>
      <c r="AT43" s="66">
        <f t="shared" si="29"/>
        <v>0</v>
      </c>
      <c r="AU43" s="66">
        <f t="shared" si="30"/>
        <v>0</v>
      </c>
      <c r="AV43" s="66">
        <f t="shared" si="31"/>
        <v>0</v>
      </c>
      <c r="AW43" s="66">
        <f t="shared" si="32"/>
        <v>0</v>
      </c>
      <c r="AX43" s="66">
        <f t="shared" si="33"/>
        <v>0</v>
      </c>
      <c r="AY43" s="66">
        <f t="shared" si="34"/>
        <v>0</v>
      </c>
      <c r="AZ43" s="66">
        <f t="shared" si="35"/>
        <v>0</v>
      </c>
      <c r="BA43" s="66">
        <f t="shared" si="36"/>
        <v>0</v>
      </c>
      <c r="BB43" s="66">
        <f t="shared" si="37"/>
        <v>0</v>
      </c>
      <c r="BC43" s="66">
        <f t="shared" si="38"/>
        <v>0</v>
      </c>
      <c r="BD43" s="66">
        <f t="shared" si="39"/>
        <v>0</v>
      </c>
      <c r="BE43" s="66">
        <f t="shared" si="40"/>
        <v>0</v>
      </c>
      <c r="BF43" s="66">
        <f t="shared" si="41"/>
        <v>0</v>
      </c>
      <c r="BG43" s="66">
        <f t="shared" si="42"/>
        <v>0</v>
      </c>
      <c r="BH43" s="66">
        <f t="shared" si="43"/>
        <v>0</v>
      </c>
      <c r="BI43" s="66">
        <f t="shared" si="44"/>
        <v>0</v>
      </c>
      <c r="BJ43" s="68">
        <f t="shared" si="45"/>
        <v>0</v>
      </c>
      <c r="BK43" s="352">
        <v>1</v>
      </c>
      <c r="BL43" s="352">
        <v>12</v>
      </c>
      <c r="BM43" s="263">
        <v>1</v>
      </c>
      <c r="BN43" s="263">
        <v>12</v>
      </c>
      <c r="BO43" s="69">
        <f t="shared" si="263"/>
        <v>42186</v>
      </c>
      <c r="BP43" s="69">
        <f t="shared" si="264"/>
        <v>42552</v>
      </c>
      <c r="BQ43" s="70">
        <f t="shared" si="213"/>
        <v>6.54E-2</v>
      </c>
      <c r="BR43" s="285">
        <f t="shared" si="214"/>
        <v>0.1391</v>
      </c>
      <c r="BS43" s="68">
        <f t="shared" si="48"/>
        <v>0</v>
      </c>
      <c r="BT43" s="68">
        <f t="shared" si="49"/>
        <v>0</v>
      </c>
      <c r="BU43" s="353"/>
      <c r="BV43" s="71" t="e">
        <f t="shared" si="50"/>
        <v>#DIV/0!</v>
      </c>
      <c r="BW43" s="72"/>
      <c r="BX43" s="73" t="e">
        <f t="shared" si="215"/>
        <v>#DIV/0!</v>
      </c>
      <c r="BY43" s="73" t="e">
        <f t="shared" si="216"/>
        <v>#DIV/0!</v>
      </c>
      <c r="BZ43" s="73" t="e">
        <f t="shared" si="217"/>
        <v>#DIV/0!</v>
      </c>
      <c r="CA43" s="73" t="e">
        <f t="shared" si="218"/>
        <v>#DIV/0!</v>
      </c>
      <c r="CB43" s="73" t="e">
        <f t="shared" si="219"/>
        <v>#DIV/0!</v>
      </c>
      <c r="CD43" s="354"/>
      <c r="CE43" s="354"/>
      <c r="CF43" s="354"/>
      <c r="CG43" s="354"/>
      <c r="CH43" s="354"/>
      <c r="CI43" s="354"/>
      <c r="CJ43" s="354"/>
      <c r="CK43" s="354"/>
      <c r="CL43" s="354"/>
      <c r="CM43" s="354"/>
      <c r="CN43" s="354"/>
      <c r="CO43" s="354"/>
      <c r="CP43" s="354"/>
      <c r="CQ43" s="354"/>
      <c r="CR43" s="354"/>
      <c r="CS43" s="354"/>
      <c r="CT43" s="354"/>
      <c r="CU43" s="354"/>
      <c r="CV43" s="354"/>
      <c r="CW43" s="354"/>
      <c r="CX43" s="354"/>
      <c r="CY43" s="354"/>
      <c r="CZ43" s="354"/>
      <c r="DA43" s="354"/>
      <c r="DB43" s="354"/>
      <c r="DC43" s="354"/>
      <c r="DD43" s="95"/>
      <c r="DE43" s="45"/>
      <c r="DF43" s="76"/>
      <c r="DG43" s="77">
        <f t="shared" si="56"/>
        <v>0</v>
      </c>
      <c r="DH43" s="68">
        <f t="shared" si="57"/>
        <v>0</v>
      </c>
      <c r="DI43" s="78"/>
      <c r="DJ43" s="189"/>
      <c r="DL43" s="146">
        <f t="shared" si="220"/>
        <v>0</v>
      </c>
      <c r="DM43" s="146">
        <f t="shared" si="270"/>
        <v>0</v>
      </c>
      <c r="DN43" s="146">
        <f t="shared" si="221"/>
        <v>0</v>
      </c>
      <c r="DO43" s="146">
        <f t="shared" si="222"/>
        <v>0</v>
      </c>
      <c r="DP43" s="146">
        <f t="shared" si="223"/>
        <v>0</v>
      </c>
      <c r="DQ43" s="146">
        <f t="shared" si="224"/>
        <v>0</v>
      </c>
      <c r="DR43" s="146">
        <f t="shared" si="225"/>
        <v>0</v>
      </c>
      <c r="DS43" s="146">
        <f t="shared" si="226"/>
        <v>0</v>
      </c>
      <c r="DT43" s="146">
        <f t="shared" si="227"/>
        <v>0</v>
      </c>
      <c r="DU43" s="146">
        <f t="shared" si="228"/>
        <v>0</v>
      </c>
      <c r="DV43" s="146">
        <f t="shared" si="229"/>
        <v>0</v>
      </c>
      <c r="DW43" s="181">
        <f t="shared" si="230"/>
        <v>0</v>
      </c>
      <c r="DY43" s="183" t="e">
        <f>$CD43*VLOOKUP($G43,'Рецепты а.б.'!$B$5:$AW$50,DY$67,0)</f>
        <v>#N/A</v>
      </c>
      <c r="DZ43" s="75" t="e">
        <f>$CD43*VLOOKUP($G43,'Рецепты а.б.'!$B$5:$AW$50,DZ$67,0)</f>
        <v>#N/A</v>
      </c>
      <c r="EA43" s="75" t="e">
        <f>$CD43*VLOOKUP($G43,'Рецепты а.б.'!$B$5:$AW$50,EA$67,0)</f>
        <v>#N/A</v>
      </c>
      <c r="EB43" s="75" t="e">
        <f>$CD43*VLOOKUP($G43,'Рецепты а.б.'!$B$5:$AW$50,EB$67,0)</f>
        <v>#N/A</v>
      </c>
      <c r="EC43" s="75" t="e">
        <f>$CD43*VLOOKUP($G43,'Рецепты а.б.'!$B$5:$AW$50,EC$67,0)</f>
        <v>#N/A</v>
      </c>
      <c r="ED43" s="75" t="e">
        <f>$CD43*VLOOKUP($G43,'Рецепты а.б.'!$B$5:$AW$50,ED$67,0)</f>
        <v>#N/A</v>
      </c>
      <c r="EE43" s="75" t="e">
        <f>$CD43*VLOOKUP($G43,'Рецепты а.б.'!$B$5:$AW$50,EE$67,0)</f>
        <v>#N/A</v>
      </c>
      <c r="EF43" s="75" t="e">
        <f>$CF43*VLOOKUP($G43,'Рецепты а.б.'!$B$5:$AW$50,EF$67,0)</f>
        <v>#N/A</v>
      </c>
      <c r="EG43" s="75" t="e">
        <f>$CF43*VLOOKUP($G43,'Рецепты а.б.'!$B$5:$AW$50,EG$67,0)</f>
        <v>#N/A</v>
      </c>
      <c r="EH43" s="75" t="e">
        <f>$CF43*VLOOKUP($G43,'Рецепты а.б.'!$B$5:$AW$50,EH$67,0)</f>
        <v>#N/A</v>
      </c>
      <c r="EI43" s="75" t="e">
        <f>$CF43*VLOOKUP($G43,'Рецепты а.б.'!$B$5:$AW$50,EI$67,0)</f>
        <v>#N/A</v>
      </c>
      <c r="EJ43" s="75" t="e">
        <f>$CF43*VLOOKUP($G43,'Рецепты а.б.'!$B$5:$AW$50,EJ$67,0)</f>
        <v>#N/A</v>
      </c>
      <c r="EK43" s="75" t="e">
        <f>$CF43*VLOOKUP($G43,'Рецепты а.б.'!$B$5:$AW$50,EK$67,0)</f>
        <v>#N/A</v>
      </c>
      <c r="EL43" s="75" t="e">
        <f>$CF43*VLOOKUP($G43,'Рецепты а.б.'!$B$5:$AW$50,EL$67,0)</f>
        <v>#N/A</v>
      </c>
      <c r="EM43" s="75" t="e">
        <f>$CG43*VLOOKUP($G43,'Рецепты а.б.'!$B$5:$AW$50,EM$67,0)</f>
        <v>#N/A</v>
      </c>
      <c r="EN43" s="75" t="e">
        <f>$CG43*VLOOKUP($G43,'Рецепты а.б.'!$B$5:$AW$50,EN$67,0)</f>
        <v>#N/A</v>
      </c>
      <c r="EO43" s="75" t="e">
        <f>$CG43*VLOOKUP($G43,'Рецепты а.б.'!$B$5:$AW$50,EO$67,0)</f>
        <v>#N/A</v>
      </c>
      <c r="EP43" s="75" t="e">
        <f>$CG43*VLOOKUP($G43,'Рецепты а.б.'!$B$5:$AW$50,EP$67,0)</f>
        <v>#N/A</v>
      </c>
      <c r="EQ43" s="75" t="e">
        <f>$CG43*VLOOKUP($G43,'Рецепты а.б.'!$B$5:$AW$50,EQ$67,0)</f>
        <v>#N/A</v>
      </c>
      <c r="ER43" s="75" t="e">
        <f>$CG43*VLOOKUP($G43,'Рецепты а.б.'!$B$5:$AW$50,ER$67,0)</f>
        <v>#N/A</v>
      </c>
      <c r="ES43" s="75" t="e">
        <f>$CG43*VLOOKUP($G43,'Рецепты а.б.'!$B$5:$AW$50,ES$67,0)</f>
        <v>#N/A</v>
      </c>
      <c r="ET43" s="75" t="e">
        <f>$CH43*VLOOKUP($G43,'Рецепты а.б.'!$B$5:$AW$50,ET$67,0)</f>
        <v>#N/A</v>
      </c>
      <c r="EU43" s="75" t="e">
        <f>$CH43*VLOOKUP($G43,'Рецепты а.б.'!$B$5:$AW$50,EU$67,0)</f>
        <v>#N/A</v>
      </c>
      <c r="EV43" s="75" t="e">
        <f>$CH43*VLOOKUP($G43,'Рецепты а.б.'!$B$5:$AW$50,EV$67,0)</f>
        <v>#N/A</v>
      </c>
      <c r="EW43" s="75" t="e">
        <f>$CH43*VLOOKUP($G43,'Рецепты а.б.'!$B$5:$AW$50,EW$67,0)</f>
        <v>#N/A</v>
      </c>
      <c r="EX43" s="75" t="e">
        <f>$CH43*VLOOKUP($G43,'Рецепты а.б.'!$B$5:$AW$50,EX$67,0)</f>
        <v>#N/A</v>
      </c>
      <c r="EY43" s="75" t="e">
        <f>$CI43*VLOOKUP($G43,'Рецепты а.б.'!$B$5:$AW$50,EY$67,0)</f>
        <v>#N/A</v>
      </c>
      <c r="EZ43" s="75" t="e">
        <f>$CI43*VLOOKUP($G43,'Рецепты а.б.'!$B$5:$AW$50,EZ$67,0)</f>
        <v>#N/A</v>
      </c>
      <c r="FA43" s="75" t="e">
        <f>$CI43*VLOOKUP($G43,'Рецепты а.б.'!$B$5:$AW$50,FA$67,0)</f>
        <v>#N/A</v>
      </c>
      <c r="FB43" s="75" t="e">
        <f>$CI43*VLOOKUP($G43,'Рецепты а.б.'!$B$5:$AW$50,FB$67,0)</f>
        <v>#N/A</v>
      </c>
      <c r="FC43" s="75" t="e">
        <f>$CI43*VLOOKUP($G43,'Рецепты а.б.'!$B$5:$AW$50,FC$67,0)</f>
        <v>#N/A</v>
      </c>
      <c r="FD43" s="75" t="e">
        <f>$CI43*VLOOKUP($G43,'Рецепты а.б.'!$B$5:$AW$50,FD$67,0)</f>
        <v>#N/A</v>
      </c>
      <c r="FE43" s="75" t="e">
        <f>$CJ43*VLOOKUP($G43,'Рецепты а.б.'!$B$5:$AW$50,FE$67,0)</f>
        <v>#N/A</v>
      </c>
      <c r="FF43" s="75" t="e">
        <f>$CJ43*VLOOKUP($G43,'Рецепты а.б.'!$B$5:$AW$50,FF$67,0)</f>
        <v>#N/A</v>
      </c>
      <c r="FG43" s="75" t="e">
        <f>$CE43*VLOOKUP($G43,'Рецепты а.б.'!$B$5:$AW$50,FG$67,0)</f>
        <v>#N/A</v>
      </c>
      <c r="FH43" s="75" t="e">
        <f>$CE43*VLOOKUP($G43,'Рецепты а.б.'!$B$5:$AW$50,FH$67,0)</f>
        <v>#N/A</v>
      </c>
      <c r="FI43" s="75" t="e">
        <f>$CE43*VLOOKUP($G43,'Рецепты а.б.'!$B$5:$AW$50,FI$67,0)</f>
        <v>#N/A</v>
      </c>
      <c r="FJ43" s="75" t="e">
        <f>$CE43*VLOOKUP($G43,'Рецепты а.б.'!$B$5:$AW$50,FJ$67,0)</f>
        <v>#N/A</v>
      </c>
      <c r="FK43" s="75" t="e">
        <f>$CE43*VLOOKUP($G43,'Рецепты а.б.'!$B$5:$AW$50,FK$67,0)</f>
        <v>#N/A</v>
      </c>
      <c r="FL43" s="75" t="e">
        <f>$CE43*VLOOKUP($G43,'Рецепты а.б.'!$B$5:$AW$50,FL$67,0)</f>
        <v>#N/A</v>
      </c>
      <c r="FM43" s="75" t="e">
        <f>$CE43*VLOOKUP($G43,'Рецепты а.б.'!$B$5:$AW$50,FM$67,0)</f>
        <v>#N/A</v>
      </c>
      <c r="FN43" s="75" t="e">
        <f>$CE43*VLOOKUP($G43,'Рецепты а.б.'!$B$5:$AW$50,FN$67,0)</f>
        <v>#N/A</v>
      </c>
    </row>
    <row r="44" spans="1:170" s="64" customFormat="1" hidden="1" x14ac:dyDescent="0.2">
      <c r="A44" s="127">
        <f t="shared" si="201"/>
        <v>41</v>
      </c>
      <c r="B44" s="344"/>
      <c r="C44" s="344"/>
      <c r="D44" s="344"/>
      <c r="E44" s="420" t="s">
        <v>331</v>
      </c>
      <c r="F44" s="345"/>
      <c r="G44" s="346"/>
      <c r="H44" s="419" t="s">
        <v>206</v>
      </c>
      <c r="I44" s="347"/>
      <c r="J44" s="348"/>
      <c r="K44" s="348"/>
      <c r="L44" s="348"/>
      <c r="M44" s="348"/>
      <c r="N44" s="348"/>
      <c r="O44" s="65">
        <f t="shared" si="4"/>
        <v>0</v>
      </c>
      <c r="P44" s="342">
        <f t="shared" si="5"/>
        <v>0</v>
      </c>
      <c r="Q44" s="342"/>
      <c r="R44" s="342"/>
      <c r="S44" s="342"/>
      <c r="T44" s="65">
        <f t="shared" si="6"/>
        <v>0</v>
      </c>
      <c r="U44" s="66">
        <f t="shared" si="7"/>
        <v>0</v>
      </c>
      <c r="V44" s="66">
        <f t="shared" si="8"/>
        <v>0</v>
      </c>
      <c r="W44" s="349">
        <f t="shared" si="271"/>
        <v>0</v>
      </c>
      <c r="X44" s="350"/>
      <c r="Y44" s="350"/>
      <c r="Z44" s="351"/>
      <c r="AA44" s="66">
        <f t="shared" si="10"/>
        <v>0</v>
      </c>
      <c r="AB44" s="66">
        <f t="shared" si="11"/>
        <v>0</v>
      </c>
      <c r="AC44" s="66">
        <f t="shared" si="12"/>
        <v>0</v>
      </c>
      <c r="AD44" s="66">
        <f t="shared" si="13"/>
        <v>0</v>
      </c>
      <c r="AE44" s="66">
        <f t="shared" si="14"/>
        <v>0</v>
      </c>
      <c r="AF44" s="66">
        <f t="shared" si="208"/>
        <v>0</v>
      </c>
      <c r="AG44" s="66">
        <f t="shared" si="209"/>
        <v>0</v>
      </c>
      <c r="AH44" s="66">
        <f t="shared" si="210"/>
        <v>0</v>
      </c>
      <c r="AI44" s="66">
        <f t="shared" si="211"/>
        <v>0</v>
      </c>
      <c r="AJ44" s="66">
        <f t="shared" si="19"/>
        <v>0</v>
      </c>
      <c r="AK44" s="67">
        <f t="shared" ref="AK44:AK53" si="275">AF44</f>
        <v>0</v>
      </c>
      <c r="AL44" s="67">
        <f t="shared" ref="AL44:AL53" si="276">AG44</f>
        <v>0</v>
      </c>
      <c r="AM44" s="67">
        <f t="shared" ref="AM44:AM53" si="277">AH44</f>
        <v>0</v>
      </c>
      <c r="AN44" s="67">
        <f t="shared" si="212"/>
        <v>0</v>
      </c>
      <c r="AO44" s="66">
        <f t="shared" si="24"/>
        <v>0</v>
      </c>
      <c r="AP44" s="66">
        <f t="shared" si="25"/>
        <v>0</v>
      </c>
      <c r="AQ44" s="66">
        <f t="shared" si="26"/>
        <v>0</v>
      </c>
      <c r="AR44" s="66">
        <f t="shared" si="27"/>
        <v>0</v>
      </c>
      <c r="AS44" s="66">
        <f t="shared" si="28"/>
        <v>0</v>
      </c>
      <c r="AT44" s="66">
        <f t="shared" si="29"/>
        <v>0</v>
      </c>
      <c r="AU44" s="66">
        <f t="shared" si="30"/>
        <v>0</v>
      </c>
      <c r="AV44" s="66">
        <f t="shared" si="31"/>
        <v>0</v>
      </c>
      <c r="AW44" s="66">
        <f t="shared" si="32"/>
        <v>0</v>
      </c>
      <c r="AX44" s="66">
        <f t="shared" si="33"/>
        <v>0</v>
      </c>
      <c r="AY44" s="66">
        <f t="shared" si="34"/>
        <v>0</v>
      </c>
      <c r="AZ44" s="66">
        <f t="shared" si="35"/>
        <v>0</v>
      </c>
      <c r="BA44" s="66">
        <f t="shared" si="36"/>
        <v>0</v>
      </c>
      <c r="BB44" s="66">
        <f t="shared" si="37"/>
        <v>0</v>
      </c>
      <c r="BC44" s="66">
        <f t="shared" si="38"/>
        <v>0</v>
      </c>
      <c r="BD44" s="66">
        <f t="shared" si="39"/>
        <v>0</v>
      </c>
      <c r="BE44" s="66">
        <f t="shared" si="40"/>
        <v>0</v>
      </c>
      <c r="BF44" s="66">
        <f t="shared" si="41"/>
        <v>0</v>
      </c>
      <c r="BG44" s="66">
        <f t="shared" si="42"/>
        <v>0</v>
      </c>
      <c r="BH44" s="66">
        <f t="shared" si="43"/>
        <v>0</v>
      </c>
      <c r="BI44" s="66">
        <f t="shared" si="44"/>
        <v>0</v>
      </c>
      <c r="BJ44" s="68">
        <f t="shared" si="45"/>
        <v>0</v>
      </c>
      <c r="BK44" s="352">
        <v>1</v>
      </c>
      <c r="BL44" s="352">
        <v>12</v>
      </c>
      <c r="BM44" s="263">
        <v>1</v>
      </c>
      <c r="BN44" s="263">
        <v>12</v>
      </c>
      <c r="BO44" s="69">
        <f t="shared" si="263"/>
        <v>42186</v>
      </c>
      <c r="BP44" s="69">
        <f t="shared" si="264"/>
        <v>42552</v>
      </c>
      <c r="BQ44" s="70">
        <f t="shared" si="213"/>
        <v>6.54E-2</v>
      </c>
      <c r="BR44" s="285">
        <f t="shared" si="214"/>
        <v>0.1391</v>
      </c>
      <c r="BS44" s="68">
        <f t="shared" si="48"/>
        <v>0</v>
      </c>
      <c r="BT44" s="68">
        <f t="shared" si="49"/>
        <v>0</v>
      </c>
      <c r="BU44" s="353"/>
      <c r="BV44" s="71" t="e">
        <f t="shared" si="50"/>
        <v>#DIV/0!</v>
      </c>
      <c r="BW44" s="72"/>
      <c r="BX44" s="73" t="e">
        <f t="shared" si="215"/>
        <v>#DIV/0!</v>
      </c>
      <c r="BY44" s="73" t="e">
        <f t="shared" si="216"/>
        <v>#DIV/0!</v>
      </c>
      <c r="BZ44" s="73" t="e">
        <f t="shared" si="217"/>
        <v>#DIV/0!</v>
      </c>
      <c r="CA44" s="73" t="e">
        <f t="shared" si="218"/>
        <v>#DIV/0!</v>
      </c>
      <c r="CB44" s="73" t="e">
        <f t="shared" si="219"/>
        <v>#DIV/0!</v>
      </c>
      <c r="CD44" s="354"/>
      <c r="CE44" s="354"/>
      <c r="CF44" s="354"/>
      <c r="CG44" s="354"/>
      <c r="CH44" s="354"/>
      <c r="CI44" s="354"/>
      <c r="CJ44" s="354"/>
      <c r="CK44" s="354"/>
      <c r="CL44" s="354"/>
      <c r="CM44" s="354"/>
      <c r="CN44" s="354"/>
      <c r="CO44" s="354"/>
      <c r="CP44" s="354"/>
      <c r="CQ44" s="354"/>
      <c r="CR44" s="354"/>
      <c r="CS44" s="354"/>
      <c r="CT44" s="354"/>
      <c r="CU44" s="354"/>
      <c r="CV44" s="354"/>
      <c r="CW44" s="354"/>
      <c r="CX44" s="354"/>
      <c r="CY44" s="354"/>
      <c r="CZ44" s="354"/>
      <c r="DA44" s="354"/>
      <c r="DB44" s="354"/>
      <c r="DC44" s="354"/>
      <c r="DD44" s="95"/>
      <c r="DE44" s="45"/>
      <c r="DF44" s="76"/>
      <c r="DG44" s="77">
        <f t="shared" si="56"/>
        <v>0</v>
      </c>
      <c r="DH44" s="68">
        <f t="shared" si="57"/>
        <v>0</v>
      </c>
      <c r="DI44" s="78"/>
      <c r="DJ44" s="189"/>
      <c r="DL44" s="146">
        <f t="shared" si="220"/>
        <v>0</v>
      </c>
      <c r="DM44" s="146">
        <f t="shared" si="270"/>
        <v>0</v>
      </c>
      <c r="DN44" s="146">
        <f t="shared" si="221"/>
        <v>0</v>
      </c>
      <c r="DO44" s="146">
        <f t="shared" si="222"/>
        <v>0</v>
      </c>
      <c r="DP44" s="146">
        <f t="shared" si="223"/>
        <v>0</v>
      </c>
      <c r="DQ44" s="146">
        <f t="shared" si="224"/>
        <v>0</v>
      </c>
      <c r="DR44" s="146">
        <f t="shared" si="225"/>
        <v>0</v>
      </c>
      <c r="DS44" s="146">
        <f t="shared" si="226"/>
        <v>0</v>
      </c>
      <c r="DT44" s="146">
        <f t="shared" si="227"/>
        <v>0</v>
      </c>
      <c r="DU44" s="146">
        <f t="shared" si="228"/>
        <v>0</v>
      </c>
      <c r="DV44" s="146">
        <f t="shared" si="229"/>
        <v>0</v>
      </c>
      <c r="DW44" s="181">
        <f t="shared" si="230"/>
        <v>0</v>
      </c>
      <c r="DY44" s="183" t="e">
        <f>$CD44*VLOOKUP($G44,'Рецепты а.б.'!$B$5:$AW$50,DY$67,0)</f>
        <v>#N/A</v>
      </c>
      <c r="DZ44" s="75" t="e">
        <f>$CD44*VLOOKUP($G44,'Рецепты а.б.'!$B$5:$AW$50,DZ$67,0)</f>
        <v>#N/A</v>
      </c>
      <c r="EA44" s="75" t="e">
        <f>$CD44*VLOOKUP($G44,'Рецепты а.б.'!$B$5:$AW$50,EA$67,0)</f>
        <v>#N/A</v>
      </c>
      <c r="EB44" s="75" t="e">
        <f>$CD44*VLOOKUP($G44,'Рецепты а.б.'!$B$5:$AW$50,EB$67,0)</f>
        <v>#N/A</v>
      </c>
      <c r="EC44" s="75" t="e">
        <f>$CD44*VLOOKUP($G44,'Рецепты а.б.'!$B$5:$AW$50,EC$67,0)</f>
        <v>#N/A</v>
      </c>
      <c r="ED44" s="75" t="e">
        <f>$CD44*VLOOKUP($G44,'Рецепты а.б.'!$B$5:$AW$50,ED$67,0)</f>
        <v>#N/A</v>
      </c>
      <c r="EE44" s="75" t="e">
        <f>$CD44*VLOOKUP($G44,'Рецепты а.б.'!$B$5:$AW$50,EE$67,0)</f>
        <v>#N/A</v>
      </c>
      <c r="EF44" s="75" t="e">
        <f>$CF44*VLOOKUP($G44,'Рецепты а.б.'!$B$5:$AW$50,EF$67,0)</f>
        <v>#N/A</v>
      </c>
      <c r="EG44" s="75" t="e">
        <f>$CF44*VLOOKUP($G44,'Рецепты а.б.'!$B$5:$AW$50,EG$67,0)</f>
        <v>#N/A</v>
      </c>
      <c r="EH44" s="75" t="e">
        <f>$CF44*VLOOKUP($G44,'Рецепты а.б.'!$B$5:$AW$50,EH$67,0)</f>
        <v>#N/A</v>
      </c>
      <c r="EI44" s="75" t="e">
        <f>$CF44*VLOOKUP($G44,'Рецепты а.б.'!$B$5:$AW$50,EI$67,0)</f>
        <v>#N/A</v>
      </c>
      <c r="EJ44" s="75" t="e">
        <f>$CF44*VLOOKUP($G44,'Рецепты а.б.'!$B$5:$AW$50,EJ$67,0)</f>
        <v>#N/A</v>
      </c>
      <c r="EK44" s="75" t="e">
        <f>$CF44*VLOOKUP($G44,'Рецепты а.б.'!$B$5:$AW$50,EK$67,0)</f>
        <v>#N/A</v>
      </c>
      <c r="EL44" s="75" t="e">
        <f>$CF44*VLOOKUP($G44,'Рецепты а.б.'!$B$5:$AW$50,EL$67,0)</f>
        <v>#N/A</v>
      </c>
      <c r="EM44" s="75" t="e">
        <f>$CG44*VLOOKUP($G44,'Рецепты а.б.'!$B$5:$AW$50,EM$67,0)</f>
        <v>#N/A</v>
      </c>
      <c r="EN44" s="75" t="e">
        <f>$CG44*VLOOKUP($G44,'Рецепты а.б.'!$B$5:$AW$50,EN$67,0)</f>
        <v>#N/A</v>
      </c>
      <c r="EO44" s="75" t="e">
        <f>$CG44*VLOOKUP($G44,'Рецепты а.б.'!$B$5:$AW$50,EO$67,0)</f>
        <v>#N/A</v>
      </c>
      <c r="EP44" s="75" t="e">
        <f>$CG44*VLOOKUP($G44,'Рецепты а.б.'!$B$5:$AW$50,EP$67,0)</f>
        <v>#N/A</v>
      </c>
      <c r="EQ44" s="75" t="e">
        <f>$CG44*VLOOKUP($G44,'Рецепты а.б.'!$B$5:$AW$50,EQ$67,0)</f>
        <v>#N/A</v>
      </c>
      <c r="ER44" s="75" t="e">
        <f>$CG44*VLOOKUP($G44,'Рецепты а.б.'!$B$5:$AW$50,ER$67,0)</f>
        <v>#N/A</v>
      </c>
      <c r="ES44" s="75" t="e">
        <f>$CG44*VLOOKUP($G44,'Рецепты а.б.'!$B$5:$AW$50,ES$67,0)</f>
        <v>#N/A</v>
      </c>
      <c r="ET44" s="75" t="e">
        <f>$CH44*VLOOKUP($G44,'Рецепты а.б.'!$B$5:$AW$50,ET$67,0)</f>
        <v>#N/A</v>
      </c>
      <c r="EU44" s="75" t="e">
        <f>$CH44*VLOOKUP($G44,'Рецепты а.б.'!$B$5:$AW$50,EU$67,0)</f>
        <v>#N/A</v>
      </c>
      <c r="EV44" s="75" t="e">
        <f>$CH44*VLOOKUP($G44,'Рецепты а.б.'!$B$5:$AW$50,EV$67,0)</f>
        <v>#N/A</v>
      </c>
      <c r="EW44" s="75" t="e">
        <f>$CH44*VLOOKUP($G44,'Рецепты а.б.'!$B$5:$AW$50,EW$67,0)</f>
        <v>#N/A</v>
      </c>
      <c r="EX44" s="75" t="e">
        <f>$CH44*VLOOKUP($G44,'Рецепты а.б.'!$B$5:$AW$50,EX$67,0)</f>
        <v>#N/A</v>
      </c>
      <c r="EY44" s="75" t="e">
        <f>$CI44*VLOOKUP($G44,'Рецепты а.б.'!$B$5:$AW$50,EY$67,0)</f>
        <v>#N/A</v>
      </c>
      <c r="EZ44" s="75" t="e">
        <f>$CI44*VLOOKUP($G44,'Рецепты а.б.'!$B$5:$AW$50,EZ$67,0)</f>
        <v>#N/A</v>
      </c>
      <c r="FA44" s="75" t="e">
        <f>$CI44*VLOOKUP($G44,'Рецепты а.б.'!$B$5:$AW$50,FA$67,0)</f>
        <v>#N/A</v>
      </c>
      <c r="FB44" s="75" t="e">
        <f>$CI44*VLOOKUP($G44,'Рецепты а.б.'!$B$5:$AW$50,FB$67,0)</f>
        <v>#N/A</v>
      </c>
      <c r="FC44" s="75" t="e">
        <f>$CI44*VLOOKUP($G44,'Рецепты а.б.'!$B$5:$AW$50,FC$67,0)</f>
        <v>#N/A</v>
      </c>
      <c r="FD44" s="75" t="e">
        <f>$CI44*VLOOKUP($G44,'Рецепты а.б.'!$B$5:$AW$50,FD$67,0)</f>
        <v>#N/A</v>
      </c>
      <c r="FE44" s="75" t="e">
        <f>$CJ44*VLOOKUP($G44,'Рецепты а.б.'!$B$5:$AW$50,FE$67,0)</f>
        <v>#N/A</v>
      </c>
      <c r="FF44" s="75" t="e">
        <f>$CJ44*VLOOKUP($G44,'Рецепты а.б.'!$B$5:$AW$50,FF$67,0)</f>
        <v>#N/A</v>
      </c>
      <c r="FG44" s="75" t="e">
        <f>$CE44*VLOOKUP($G44,'Рецепты а.б.'!$B$5:$AW$50,FG$67,0)</f>
        <v>#N/A</v>
      </c>
      <c r="FH44" s="75" t="e">
        <f>$CE44*VLOOKUP($G44,'Рецепты а.б.'!$B$5:$AW$50,FH$67,0)</f>
        <v>#N/A</v>
      </c>
      <c r="FI44" s="75" t="e">
        <f>$CE44*VLOOKUP($G44,'Рецепты а.б.'!$B$5:$AW$50,FI$67,0)</f>
        <v>#N/A</v>
      </c>
      <c r="FJ44" s="75" t="e">
        <f>$CE44*VLOOKUP($G44,'Рецепты а.б.'!$B$5:$AW$50,FJ$67,0)</f>
        <v>#N/A</v>
      </c>
      <c r="FK44" s="75" t="e">
        <f>$CE44*VLOOKUP($G44,'Рецепты а.б.'!$B$5:$AW$50,FK$67,0)</f>
        <v>#N/A</v>
      </c>
      <c r="FL44" s="75" t="e">
        <f>$CE44*VLOOKUP($G44,'Рецепты а.б.'!$B$5:$AW$50,FL$67,0)</f>
        <v>#N/A</v>
      </c>
      <c r="FM44" s="75" t="e">
        <f>$CE44*VLOOKUP($G44,'Рецепты а.б.'!$B$5:$AW$50,FM$67,0)</f>
        <v>#N/A</v>
      </c>
      <c r="FN44" s="75" t="e">
        <f>$CE44*VLOOKUP($G44,'Рецепты а.б.'!$B$5:$AW$50,FN$67,0)</f>
        <v>#N/A</v>
      </c>
    </row>
    <row r="45" spans="1:170" s="64" customFormat="1" hidden="1" x14ac:dyDescent="0.2">
      <c r="A45" s="127">
        <f t="shared" si="201"/>
        <v>42</v>
      </c>
      <c r="B45" s="344"/>
      <c r="C45" s="344"/>
      <c r="D45" s="344"/>
      <c r="E45" s="420" t="s">
        <v>331</v>
      </c>
      <c r="F45" s="345"/>
      <c r="G45" s="346"/>
      <c r="H45" s="419" t="s">
        <v>206</v>
      </c>
      <c r="I45" s="347"/>
      <c r="J45" s="348"/>
      <c r="K45" s="348"/>
      <c r="L45" s="348"/>
      <c r="M45" s="348"/>
      <c r="N45" s="348"/>
      <c r="O45" s="65">
        <f t="shared" si="4"/>
        <v>0</v>
      </c>
      <c r="P45" s="342">
        <f t="shared" si="5"/>
        <v>0</v>
      </c>
      <c r="Q45" s="342"/>
      <c r="R45" s="342"/>
      <c r="S45" s="342"/>
      <c r="T45" s="65">
        <f t="shared" si="6"/>
        <v>0</v>
      </c>
      <c r="U45" s="66">
        <f t="shared" si="7"/>
        <v>0</v>
      </c>
      <c r="V45" s="66">
        <f t="shared" si="8"/>
        <v>0</v>
      </c>
      <c r="W45" s="349">
        <f t="shared" si="271"/>
        <v>0</v>
      </c>
      <c r="X45" s="350"/>
      <c r="Y45" s="350"/>
      <c r="Z45" s="351"/>
      <c r="AA45" s="66">
        <f t="shared" si="10"/>
        <v>0</v>
      </c>
      <c r="AB45" s="66">
        <f t="shared" si="11"/>
        <v>0</v>
      </c>
      <c r="AC45" s="66">
        <f t="shared" si="12"/>
        <v>0</v>
      </c>
      <c r="AD45" s="66">
        <f t="shared" si="13"/>
        <v>0</v>
      </c>
      <c r="AE45" s="66">
        <f t="shared" si="14"/>
        <v>0</v>
      </c>
      <c r="AF45" s="66">
        <f t="shared" si="208"/>
        <v>0</v>
      </c>
      <c r="AG45" s="66">
        <f t="shared" si="209"/>
        <v>0</v>
      </c>
      <c r="AH45" s="66">
        <f t="shared" si="210"/>
        <v>0</v>
      </c>
      <c r="AI45" s="66">
        <f t="shared" si="211"/>
        <v>0</v>
      </c>
      <c r="AJ45" s="66">
        <f t="shared" si="19"/>
        <v>0</v>
      </c>
      <c r="AK45" s="67">
        <f t="shared" si="275"/>
        <v>0</v>
      </c>
      <c r="AL45" s="67">
        <f t="shared" si="276"/>
        <v>0</v>
      </c>
      <c r="AM45" s="67">
        <f t="shared" si="277"/>
        <v>0</v>
      </c>
      <c r="AN45" s="67">
        <f t="shared" si="212"/>
        <v>0</v>
      </c>
      <c r="AO45" s="66">
        <f t="shared" si="24"/>
        <v>0</v>
      </c>
      <c r="AP45" s="66">
        <f t="shared" si="25"/>
        <v>0</v>
      </c>
      <c r="AQ45" s="66">
        <f t="shared" si="26"/>
        <v>0</v>
      </c>
      <c r="AR45" s="66">
        <f t="shared" si="27"/>
        <v>0</v>
      </c>
      <c r="AS45" s="66">
        <f t="shared" si="28"/>
        <v>0</v>
      </c>
      <c r="AT45" s="66">
        <f t="shared" si="29"/>
        <v>0</v>
      </c>
      <c r="AU45" s="66">
        <f t="shared" si="30"/>
        <v>0</v>
      </c>
      <c r="AV45" s="66">
        <f t="shared" si="31"/>
        <v>0</v>
      </c>
      <c r="AW45" s="66">
        <f t="shared" si="32"/>
        <v>0</v>
      </c>
      <c r="AX45" s="66">
        <f t="shared" si="33"/>
        <v>0</v>
      </c>
      <c r="AY45" s="66">
        <f t="shared" si="34"/>
        <v>0</v>
      </c>
      <c r="AZ45" s="66">
        <f t="shared" si="35"/>
        <v>0</v>
      </c>
      <c r="BA45" s="66">
        <f t="shared" si="36"/>
        <v>0</v>
      </c>
      <c r="BB45" s="66">
        <f t="shared" si="37"/>
        <v>0</v>
      </c>
      <c r="BC45" s="66">
        <f t="shared" si="38"/>
        <v>0</v>
      </c>
      <c r="BD45" s="66">
        <f t="shared" si="39"/>
        <v>0</v>
      </c>
      <c r="BE45" s="66">
        <f t="shared" si="40"/>
        <v>0</v>
      </c>
      <c r="BF45" s="66">
        <f t="shared" si="41"/>
        <v>0</v>
      </c>
      <c r="BG45" s="66">
        <f t="shared" si="42"/>
        <v>0</v>
      </c>
      <c r="BH45" s="66">
        <f t="shared" si="43"/>
        <v>0</v>
      </c>
      <c r="BI45" s="66">
        <f t="shared" si="44"/>
        <v>0</v>
      </c>
      <c r="BJ45" s="68">
        <f t="shared" si="45"/>
        <v>0</v>
      </c>
      <c r="BK45" s="352">
        <v>1</v>
      </c>
      <c r="BL45" s="352">
        <v>12</v>
      </c>
      <c r="BM45" s="263">
        <v>1</v>
      </c>
      <c r="BN45" s="263">
        <v>12</v>
      </c>
      <c r="BO45" s="69">
        <f t="shared" si="263"/>
        <v>42186</v>
      </c>
      <c r="BP45" s="69">
        <f t="shared" si="264"/>
        <v>42552</v>
      </c>
      <c r="BQ45" s="70">
        <f t="shared" si="213"/>
        <v>6.54E-2</v>
      </c>
      <c r="BR45" s="285">
        <f t="shared" si="214"/>
        <v>0.1391</v>
      </c>
      <c r="BS45" s="68">
        <f t="shared" si="48"/>
        <v>0</v>
      </c>
      <c r="BT45" s="68">
        <f t="shared" si="49"/>
        <v>0</v>
      </c>
      <c r="BU45" s="353"/>
      <c r="BV45" s="71" t="e">
        <f t="shared" si="50"/>
        <v>#DIV/0!</v>
      </c>
      <c r="BW45" s="72"/>
      <c r="BX45" s="73" t="e">
        <f t="shared" si="215"/>
        <v>#DIV/0!</v>
      </c>
      <c r="BY45" s="73" t="e">
        <f t="shared" si="216"/>
        <v>#DIV/0!</v>
      </c>
      <c r="BZ45" s="73" t="e">
        <f t="shared" si="217"/>
        <v>#DIV/0!</v>
      </c>
      <c r="CA45" s="73" t="e">
        <f t="shared" si="218"/>
        <v>#DIV/0!</v>
      </c>
      <c r="CB45" s="73" t="e">
        <f t="shared" si="219"/>
        <v>#DIV/0!</v>
      </c>
      <c r="CD45" s="354"/>
      <c r="CE45" s="354"/>
      <c r="CF45" s="354"/>
      <c r="CG45" s="354"/>
      <c r="CH45" s="354"/>
      <c r="CI45" s="354"/>
      <c r="CJ45" s="354"/>
      <c r="CK45" s="354"/>
      <c r="CL45" s="354"/>
      <c r="CM45" s="354"/>
      <c r="CN45" s="354"/>
      <c r="CO45" s="354"/>
      <c r="CP45" s="354"/>
      <c r="CQ45" s="354"/>
      <c r="CR45" s="354"/>
      <c r="CS45" s="354"/>
      <c r="CT45" s="354"/>
      <c r="CU45" s="354"/>
      <c r="CV45" s="354"/>
      <c r="CW45" s="354"/>
      <c r="CX45" s="354"/>
      <c r="CY45" s="354"/>
      <c r="CZ45" s="354"/>
      <c r="DA45" s="354"/>
      <c r="DB45" s="354"/>
      <c r="DC45" s="354"/>
      <c r="DD45" s="95"/>
      <c r="DE45" s="45"/>
      <c r="DF45" s="76"/>
      <c r="DG45" s="77">
        <f t="shared" si="56"/>
        <v>0</v>
      </c>
      <c r="DH45" s="68">
        <f t="shared" si="57"/>
        <v>0</v>
      </c>
      <c r="DI45" s="78"/>
      <c r="DJ45" s="189"/>
      <c r="DL45" s="146">
        <f t="shared" si="220"/>
        <v>0</v>
      </c>
      <c r="DM45" s="146">
        <f t="shared" si="270"/>
        <v>0</v>
      </c>
      <c r="DN45" s="146">
        <f t="shared" si="221"/>
        <v>0</v>
      </c>
      <c r="DO45" s="146">
        <f t="shared" si="222"/>
        <v>0</v>
      </c>
      <c r="DP45" s="146">
        <f t="shared" si="223"/>
        <v>0</v>
      </c>
      <c r="DQ45" s="146">
        <f t="shared" si="224"/>
        <v>0</v>
      </c>
      <c r="DR45" s="146">
        <f t="shared" si="225"/>
        <v>0</v>
      </c>
      <c r="DS45" s="146">
        <f t="shared" si="226"/>
        <v>0</v>
      </c>
      <c r="DT45" s="146">
        <f t="shared" si="227"/>
        <v>0</v>
      </c>
      <c r="DU45" s="146">
        <f t="shared" si="228"/>
        <v>0</v>
      </c>
      <c r="DV45" s="146">
        <f t="shared" si="229"/>
        <v>0</v>
      </c>
      <c r="DW45" s="181">
        <f t="shared" si="230"/>
        <v>0</v>
      </c>
      <c r="DY45" s="183" t="e">
        <f>$CD45*VLOOKUP($G45,'Рецепты а.б.'!$B$5:$AW$50,DY$67,0)</f>
        <v>#N/A</v>
      </c>
      <c r="DZ45" s="75" t="e">
        <f>$CD45*VLOOKUP($G45,'Рецепты а.б.'!$B$5:$AW$50,DZ$67,0)</f>
        <v>#N/A</v>
      </c>
      <c r="EA45" s="75" t="e">
        <f>$CD45*VLOOKUP($G45,'Рецепты а.б.'!$B$5:$AW$50,EA$67,0)</f>
        <v>#N/A</v>
      </c>
      <c r="EB45" s="75" t="e">
        <f>$CD45*VLOOKUP($G45,'Рецепты а.б.'!$B$5:$AW$50,EB$67,0)</f>
        <v>#N/A</v>
      </c>
      <c r="EC45" s="75" t="e">
        <f>$CD45*VLOOKUP($G45,'Рецепты а.б.'!$B$5:$AW$50,EC$67,0)</f>
        <v>#N/A</v>
      </c>
      <c r="ED45" s="75" t="e">
        <f>$CD45*VLOOKUP($G45,'Рецепты а.б.'!$B$5:$AW$50,ED$67,0)</f>
        <v>#N/A</v>
      </c>
      <c r="EE45" s="75" t="e">
        <f>$CD45*VLOOKUP($G45,'Рецепты а.б.'!$B$5:$AW$50,EE$67,0)</f>
        <v>#N/A</v>
      </c>
      <c r="EF45" s="75" t="e">
        <f>$CF45*VLOOKUP($G45,'Рецепты а.б.'!$B$5:$AW$50,EF$67,0)</f>
        <v>#N/A</v>
      </c>
      <c r="EG45" s="75" t="e">
        <f>$CF45*VLOOKUP($G45,'Рецепты а.б.'!$B$5:$AW$50,EG$67,0)</f>
        <v>#N/A</v>
      </c>
      <c r="EH45" s="75" t="e">
        <f>$CF45*VLOOKUP($G45,'Рецепты а.б.'!$B$5:$AW$50,EH$67,0)</f>
        <v>#N/A</v>
      </c>
      <c r="EI45" s="75" t="e">
        <f>$CF45*VLOOKUP($G45,'Рецепты а.б.'!$B$5:$AW$50,EI$67,0)</f>
        <v>#N/A</v>
      </c>
      <c r="EJ45" s="75" t="e">
        <f>$CF45*VLOOKUP($G45,'Рецепты а.б.'!$B$5:$AW$50,EJ$67,0)</f>
        <v>#N/A</v>
      </c>
      <c r="EK45" s="75" t="e">
        <f>$CF45*VLOOKUP($G45,'Рецепты а.б.'!$B$5:$AW$50,EK$67,0)</f>
        <v>#N/A</v>
      </c>
      <c r="EL45" s="75" t="e">
        <f>$CF45*VLOOKUP($G45,'Рецепты а.б.'!$B$5:$AW$50,EL$67,0)</f>
        <v>#N/A</v>
      </c>
      <c r="EM45" s="75" t="e">
        <f>$CG45*VLOOKUP($G45,'Рецепты а.б.'!$B$5:$AW$50,EM$67,0)</f>
        <v>#N/A</v>
      </c>
      <c r="EN45" s="75" t="e">
        <f>$CG45*VLOOKUP($G45,'Рецепты а.б.'!$B$5:$AW$50,EN$67,0)</f>
        <v>#N/A</v>
      </c>
      <c r="EO45" s="75" t="e">
        <f>$CG45*VLOOKUP($G45,'Рецепты а.б.'!$B$5:$AW$50,EO$67,0)</f>
        <v>#N/A</v>
      </c>
      <c r="EP45" s="75" t="e">
        <f>$CG45*VLOOKUP($G45,'Рецепты а.б.'!$B$5:$AW$50,EP$67,0)</f>
        <v>#N/A</v>
      </c>
      <c r="EQ45" s="75" t="e">
        <f>$CG45*VLOOKUP($G45,'Рецепты а.б.'!$B$5:$AW$50,EQ$67,0)</f>
        <v>#N/A</v>
      </c>
      <c r="ER45" s="75" t="e">
        <f>$CG45*VLOOKUP($G45,'Рецепты а.б.'!$B$5:$AW$50,ER$67,0)</f>
        <v>#N/A</v>
      </c>
      <c r="ES45" s="75" t="e">
        <f>$CG45*VLOOKUP($G45,'Рецепты а.б.'!$B$5:$AW$50,ES$67,0)</f>
        <v>#N/A</v>
      </c>
      <c r="ET45" s="75" t="e">
        <f>$CH45*VLOOKUP($G45,'Рецепты а.б.'!$B$5:$AW$50,ET$67,0)</f>
        <v>#N/A</v>
      </c>
      <c r="EU45" s="75" t="e">
        <f>$CH45*VLOOKUP($G45,'Рецепты а.б.'!$B$5:$AW$50,EU$67,0)</f>
        <v>#N/A</v>
      </c>
      <c r="EV45" s="75" t="e">
        <f>$CH45*VLOOKUP($G45,'Рецепты а.б.'!$B$5:$AW$50,EV$67,0)</f>
        <v>#N/A</v>
      </c>
      <c r="EW45" s="75" t="e">
        <f>$CH45*VLOOKUP($G45,'Рецепты а.б.'!$B$5:$AW$50,EW$67,0)</f>
        <v>#N/A</v>
      </c>
      <c r="EX45" s="75" t="e">
        <f>$CH45*VLOOKUP($G45,'Рецепты а.б.'!$B$5:$AW$50,EX$67,0)</f>
        <v>#N/A</v>
      </c>
      <c r="EY45" s="75" t="e">
        <f>$CI45*VLOOKUP($G45,'Рецепты а.б.'!$B$5:$AW$50,EY$67,0)</f>
        <v>#N/A</v>
      </c>
      <c r="EZ45" s="75" t="e">
        <f>$CI45*VLOOKUP($G45,'Рецепты а.б.'!$B$5:$AW$50,EZ$67,0)</f>
        <v>#N/A</v>
      </c>
      <c r="FA45" s="75" t="e">
        <f>$CI45*VLOOKUP($G45,'Рецепты а.б.'!$B$5:$AW$50,FA$67,0)</f>
        <v>#N/A</v>
      </c>
      <c r="FB45" s="75" t="e">
        <f>$CI45*VLOOKUP($G45,'Рецепты а.б.'!$B$5:$AW$50,FB$67,0)</f>
        <v>#N/A</v>
      </c>
      <c r="FC45" s="75" t="e">
        <f>$CI45*VLOOKUP($G45,'Рецепты а.б.'!$B$5:$AW$50,FC$67,0)</f>
        <v>#N/A</v>
      </c>
      <c r="FD45" s="75" t="e">
        <f>$CI45*VLOOKUP($G45,'Рецепты а.б.'!$B$5:$AW$50,FD$67,0)</f>
        <v>#N/A</v>
      </c>
      <c r="FE45" s="75" t="e">
        <f>$CJ45*VLOOKUP($G45,'Рецепты а.б.'!$B$5:$AW$50,FE$67,0)</f>
        <v>#N/A</v>
      </c>
      <c r="FF45" s="75" t="e">
        <f>$CJ45*VLOOKUP($G45,'Рецепты а.б.'!$B$5:$AW$50,FF$67,0)</f>
        <v>#N/A</v>
      </c>
      <c r="FG45" s="75" t="e">
        <f>$CE45*VLOOKUP($G45,'Рецепты а.б.'!$B$5:$AW$50,FG$67,0)</f>
        <v>#N/A</v>
      </c>
      <c r="FH45" s="75" t="e">
        <f>$CE45*VLOOKUP($G45,'Рецепты а.б.'!$B$5:$AW$50,FH$67,0)</f>
        <v>#N/A</v>
      </c>
      <c r="FI45" s="75" t="e">
        <f>$CE45*VLOOKUP($G45,'Рецепты а.б.'!$B$5:$AW$50,FI$67,0)</f>
        <v>#N/A</v>
      </c>
      <c r="FJ45" s="75" t="e">
        <f>$CE45*VLOOKUP($G45,'Рецепты а.б.'!$B$5:$AW$50,FJ$67,0)</f>
        <v>#N/A</v>
      </c>
      <c r="FK45" s="75" t="e">
        <f>$CE45*VLOOKUP($G45,'Рецепты а.б.'!$B$5:$AW$50,FK$67,0)</f>
        <v>#N/A</v>
      </c>
      <c r="FL45" s="75" t="e">
        <f>$CE45*VLOOKUP($G45,'Рецепты а.б.'!$B$5:$AW$50,FL$67,0)</f>
        <v>#N/A</v>
      </c>
      <c r="FM45" s="75" t="e">
        <f>$CE45*VLOOKUP($G45,'Рецепты а.б.'!$B$5:$AW$50,FM$67,0)</f>
        <v>#N/A</v>
      </c>
      <c r="FN45" s="75" t="e">
        <f>$CE45*VLOOKUP($G45,'Рецепты а.б.'!$B$5:$AW$50,FN$67,0)</f>
        <v>#N/A</v>
      </c>
    </row>
    <row r="46" spans="1:170" s="64" customFormat="1" hidden="1" x14ac:dyDescent="0.2">
      <c r="A46" s="127">
        <f t="shared" si="201"/>
        <v>43</v>
      </c>
      <c r="B46" s="344"/>
      <c r="C46" s="344"/>
      <c r="D46" s="344"/>
      <c r="E46" s="420" t="s">
        <v>331</v>
      </c>
      <c r="F46" s="345"/>
      <c r="G46" s="346"/>
      <c r="H46" s="419" t="s">
        <v>206</v>
      </c>
      <c r="I46" s="347"/>
      <c r="J46" s="348"/>
      <c r="K46" s="348"/>
      <c r="L46" s="348"/>
      <c r="M46" s="348"/>
      <c r="N46" s="348"/>
      <c r="O46" s="65">
        <f t="shared" si="4"/>
        <v>0</v>
      </c>
      <c r="P46" s="342">
        <f t="shared" si="5"/>
        <v>0</v>
      </c>
      <c r="Q46" s="342"/>
      <c r="R46" s="342"/>
      <c r="S46" s="342"/>
      <c r="T46" s="65">
        <f t="shared" si="6"/>
        <v>0</v>
      </c>
      <c r="U46" s="66">
        <f t="shared" si="7"/>
        <v>0</v>
      </c>
      <c r="V46" s="66">
        <f t="shared" si="8"/>
        <v>0</v>
      </c>
      <c r="W46" s="349">
        <f t="shared" si="271"/>
        <v>0</v>
      </c>
      <c r="X46" s="350"/>
      <c r="Y46" s="350"/>
      <c r="Z46" s="351"/>
      <c r="AA46" s="66">
        <f t="shared" si="10"/>
        <v>0</v>
      </c>
      <c r="AB46" s="66">
        <f t="shared" si="11"/>
        <v>0</v>
      </c>
      <c r="AC46" s="66">
        <f t="shared" si="12"/>
        <v>0</v>
      </c>
      <c r="AD46" s="66">
        <f t="shared" si="13"/>
        <v>0</v>
      </c>
      <c r="AE46" s="66">
        <f t="shared" si="14"/>
        <v>0</v>
      </c>
      <c r="AF46" s="66">
        <f t="shared" si="208"/>
        <v>0</v>
      </c>
      <c r="AG46" s="66">
        <f t="shared" si="209"/>
        <v>0</v>
      </c>
      <c r="AH46" s="66">
        <f t="shared" si="210"/>
        <v>0</v>
      </c>
      <c r="AI46" s="66">
        <f t="shared" si="211"/>
        <v>0</v>
      </c>
      <c r="AJ46" s="66">
        <f t="shared" si="19"/>
        <v>0</v>
      </c>
      <c r="AK46" s="67">
        <f t="shared" si="275"/>
        <v>0</v>
      </c>
      <c r="AL46" s="67">
        <f t="shared" si="276"/>
        <v>0</v>
      </c>
      <c r="AM46" s="67">
        <f t="shared" si="277"/>
        <v>0</v>
      </c>
      <c r="AN46" s="67">
        <f t="shared" si="212"/>
        <v>0</v>
      </c>
      <c r="AO46" s="66">
        <f t="shared" si="24"/>
        <v>0</v>
      </c>
      <c r="AP46" s="66">
        <f t="shared" si="25"/>
        <v>0</v>
      </c>
      <c r="AQ46" s="66">
        <f t="shared" si="26"/>
        <v>0</v>
      </c>
      <c r="AR46" s="66">
        <f t="shared" si="27"/>
        <v>0</v>
      </c>
      <c r="AS46" s="66">
        <f t="shared" si="28"/>
        <v>0</v>
      </c>
      <c r="AT46" s="66">
        <f t="shared" si="29"/>
        <v>0</v>
      </c>
      <c r="AU46" s="66">
        <f t="shared" si="30"/>
        <v>0</v>
      </c>
      <c r="AV46" s="66">
        <f t="shared" si="31"/>
        <v>0</v>
      </c>
      <c r="AW46" s="66">
        <f t="shared" si="32"/>
        <v>0</v>
      </c>
      <c r="AX46" s="66">
        <f t="shared" si="33"/>
        <v>0</v>
      </c>
      <c r="AY46" s="66">
        <f t="shared" si="34"/>
        <v>0</v>
      </c>
      <c r="AZ46" s="66">
        <f t="shared" si="35"/>
        <v>0</v>
      </c>
      <c r="BA46" s="66">
        <f t="shared" si="36"/>
        <v>0</v>
      </c>
      <c r="BB46" s="66">
        <f t="shared" si="37"/>
        <v>0</v>
      </c>
      <c r="BC46" s="66">
        <f t="shared" si="38"/>
        <v>0</v>
      </c>
      <c r="BD46" s="66">
        <f t="shared" si="39"/>
        <v>0</v>
      </c>
      <c r="BE46" s="66">
        <f t="shared" si="40"/>
        <v>0</v>
      </c>
      <c r="BF46" s="66">
        <f t="shared" si="41"/>
        <v>0</v>
      </c>
      <c r="BG46" s="66">
        <f t="shared" si="42"/>
        <v>0</v>
      </c>
      <c r="BH46" s="66">
        <f t="shared" si="43"/>
        <v>0</v>
      </c>
      <c r="BI46" s="66">
        <f t="shared" si="44"/>
        <v>0</v>
      </c>
      <c r="BJ46" s="68">
        <f t="shared" si="45"/>
        <v>0</v>
      </c>
      <c r="BK46" s="352">
        <v>1</v>
      </c>
      <c r="BL46" s="352">
        <v>12</v>
      </c>
      <c r="BM46" s="263">
        <v>1</v>
      </c>
      <c r="BN46" s="263">
        <v>12</v>
      </c>
      <c r="BO46" s="69">
        <f t="shared" si="263"/>
        <v>42186</v>
      </c>
      <c r="BP46" s="69">
        <f t="shared" si="264"/>
        <v>42552</v>
      </c>
      <c r="BQ46" s="70">
        <f t="shared" si="213"/>
        <v>6.54E-2</v>
      </c>
      <c r="BR46" s="285">
        <f t="shared" si="214"/>
        <v>0.1391</v>
      </c>
      <c r="BS46" s="68">
        <f t="shared" si="48"/>
        <v>0</v>
      </c>
      <c r="BT46" s="68">
        <f t="shared" si="49"/>
        <v>0</v>
      </c>
      <c r="BU46" s="353"/>
      <c r="BV46" s="71" t="e">
        <f t="shared" si="50"/>
        <v>#DIV/0!</v>
      </c>
      <c r="BW46" s="72"/>
      <c r="BX46" s="73" t="e">
        <f t="shared" si="215"/>
        <v>#DIV/0!</v>
      </c>
      <c r="BY46" s="73" t="e">
        <f t="shared" si="216"/>
        <v>#DIV/0!</v>
      </c>
      <c r="BZ46" s="73" t="e">
        <f t="shared" si="217"/>
        <v>#DIV/0!</v>
      </c>
      <c r="CA46" s="73" t="e">
        <f t="shared" si="218"/>
        <v>#DIV/0!</v>
      </c>
      <c r="CB46" s="73" t="e">
        <f t="shared" si="219"/>
        <v>#DIV/0!</v>
      </c>
      <c r="CD46" s="354"/>
      <c r="CE46" s="354"/>
      <c r="CF46" s="354"/>
      <c r="CG46" s="354"/>
      <c r="CH46" s="354"/>
      <c r="CI46" s="354"/>
      <c r="CJ46" s="354"/>
      <c r="CK46" s="354"/>
      <c r="CL46" s="354"/>
      <c r="CM46" s="354"/>
      <c r="CN46" s="354"/>
      <c r="CO46" s="354"/>
      <c r="CP46" s="354"/>
      <c r="CQ46" s="354"/>
      <c r="CR46" s="354"/>
      <c r="CS46" s="354"/>
      <c r="CT46" s="354"/>
      <c r="CU46" s="354"/>
      <c r="CV46" s="354"/>
      <c r="CW46" s="354"/>
      <c r="CX46" s="354"/>
      <c r="CY46" s="354"/>
      <c r="CZ46" s="354"/>
      <c r="DA46" s="354"/>
      <c r="DB46" s="354"/>
      <c r="DC46" s="354"/>
      <c r="DD46" s="95"/>
      <c r="DE46" s="45"/>
      <c r="DF46" s="76"/>
      <c r="DG46" s="77">
        <f t="shared" si="56"/>
        <v>0</v>
      </c>
      <c r="DH46" s="68">
        <f t="shared" si="57"/>
        <v>0</v>
      </c>
      <c r="DI46" s="78"/>
      <c r="DJ46" s="189"/>
      <c r="DL46" s="146">
        <f t="shared" si="220"/>
        <v>0</v>
      </c>
      <c r="DM46" s="146">
        <f t="shared" si="270"/>
        <v>0</v>
      </c>
      <c r="DN46" s="146">
        <f t="shared" si="221"/>
        <v>0</v>
      </c>
      <c r="DO46" s="146">
        <f t="shared" si="222"/>
        <v>0</v>
      </c>
      <c r="DP46" s="146">
        <f t="shared" si="223"/>
        <v>0</v>
      </c>
      <c r="DQ46" s="146">
        <f t="shared" si="224"/>
        <v>0</v>
      </c>
      <c r="DR46" s="146">
        <f t="shared" si="225"/>
        <v>0</v>
      </c>
      <c r="DS46" s="146">
        <f t="shared" si="226"/>
        <v>0</v>
      </c>
      <c r="DT46" s="146">
        <f t="shared" si="227"/>
        <v>0</v>
      </c>
      <c r="DU46" s="146">
        <f t="shared" si="228"/>
        <v>0</v>
      </c>
      <c r="DV46" s="146">
        <f t="shared" si="229"/>
        <v>0</v>
      </c>
      <c r="DW46" s="181">
        <f t="shared" si="230"/>
        <v>0</v>
      </c>
      <c r="DY46" s="183" t="e">
        <f>$CD46*VLOOKUP($G46,'Рецепты а.б.'!$B$5:$AW$50,DY$67,0)</f>
        <v>#N/A</v>
      </c>
      <c r="DZ46" s="75" t="e">
        <f>$CD46*VLOOKUP($G46,'Рецепты а.б.'!$B$5:$AW$50,DZ$67,0)</f>
        <v>#N/A</v>
      </c>
      <c r="EA46" s="75" t="e">
        <f>$CD46*VLOOKUP($G46,'Рецепты а.б.'!$B$5:$AW$50,EA$67,0)</f>
        <v>#N/A</v>
      </c>
      <c r="EB46" s="75" t="e">
        <f>$CD46*VLOOKUP($G46,'Рецепты а.б.'!$B$5:$AW$50,EB$67,0)</f>
        <v>#N/A</v>
      </c>
      <c r="EC46" s="75" t="e">
        <f>$CD46*VLOOKUP($G46,'Рецепты а.б.'!$B$5:$AW$50,EC$67,0)</f>
        <v>#N/A</v>
      </c>
      <c r="ED46" s="75" t="e">
        <f>$CD46*VLOOKUP($G46,'Рецепты а.б.'!$B$5:$AW$50,ED$67,0)</f>
        <v>#N/A</v>
      </c>
      <c r="EE46" s="75" t="e">
        <f>$CD46*VLOOKUP($G46,'Рецепты а.б.'!$B$5:$AW$50,EE$67,0)</f>
        <v>#N/A</v>
      </c>
      <c r="EF46" s="75" t="e">
        <f>$CF46*VLOOKUP($G46,'Рецепты а.б.'!$B$5:$AW$50,EF$67,0)</f>
        <v>#N/A</v>
      </c>
      <c r="EG46" s="75" t="e">
        <f>$CF46*VLOOKUP($G46,'Рецепты а.б.'!$B$5:$AW$50,EG$67,0)</f>
        <v>#N/A</v>
      </c>
      <c r="EH46" s="75" t="e">
        <f>$CF46*VLOOKUP($G46,'Рецепты а.б.'!$B$5:$AW$50,EH$67,0)</f>
        <v>#N/A</v>
      </c>
      <c r="EI46" s="75" t="e">
        <f>$CF46*VLOOKUP($G46,'Рецепты а.б.'!$B$5:$AW$50,EI$67,0)</f>
        <v>#N/A</v>
      </c>
      <c r="EJ46" s="75" t="e">
        <f>$CF46*VLOOKUP($G46,'Рецепты а.б.'!$B$5:$AW$50,EJ$67,0)</f>
        <v>#N/A</v>
      </c>
      <c r="EK46" s="75" t="e">
        <f>$CF46*VLOOKUP($G46,'Рецепты а.б.'!$B$5:$AW$50,EK$67,0)</f>
        <v>#N/A</v>
      </c>
      <c r="EL46" s="75" t="e">
        <f>$CF46*VLOOKUP($G46,'Рецепты а.б.'!$B$5:$AW$50,EL$67,0)</f>
        <v>#N/A</v>
      </c>
      <c r="EM46" s="75" t="e">
        <f>$CG46*VLOOKUP($G46,'Рецепты а.б.'!$B$5:$AW$50,EM$67,0)</f>
        <v>#N/A</v>
      </c>
      <c r="EN46" s="75" t="e">
        <f>$CG46*VLOOKUP($G46,'Рецепты а.б.'!$B$5:$AW$50,EN$67,0)</f>
        <v>#N/A</v>
      </c>
      <c r="EO46" s="75" t="e">
        <f>$CG46*VLOOKUP($G46,'Рецепты а.б.'!$B$5:$AW$50,EO$67,0)</f>
        <v>#N/A</v>
      </c>
      <c r="EP46" s="75" t="e">
        <f>$CG46*VLOOKUP($G46,'Рецепты а.б.'!$B$5:$AW$50,EP$67,0)</f>
        <v>#N/A</v>
      </c>
      <c r="EQ46" s="75" t="e">
        <f>$CG46*VLOOKUP($G46,'Рецепты а.б.'!$B$5:$AW$50,EQ$67,0)</f>
        <v>#N/A</v>
      </c>
      <c r="ER46" s="75" t="e">
        <f>$CG46*VLOOKUP($G46,'Рецепты а.б.'!$B$5:$AW$50,ER$67,0)</f>
        <v>#N/A</v>
      </c>
      <c r="ES46" s="75" t="e">
        <f>$CG46*VLOOKUP($G46,'Рецепты а.б.'!$B$5:$AW$50,ES$67,0)</f>
        <v>#N/A</v>
      </c>
      <c r="ET46" s="75" t="e">
        <f>$CH46*VLOOKUP($G46,'Рецепты а.б.'!$B$5:$AW$50,ET$67,0)</f>
        <v>#N/A</v>
      </c>
      <c r="EU46" s="75" t="e">
        <f>$CH46*VLOOKUP($G46,'Рецепты а.б.'!$B$5:$AW$50,EU$67,0)</f>
        <v>#N/A</v>
      </c>
      <c r="EV46" s="75" t="e">
        <f>$CH46*VLOOKUP($G46,'Рецепты а.б.'!$B$5:$AW$50,EV$67,0)</f>
        <v>#N/A</v>
      </c>
      <c r="EW46" s="75" t="e">
        <f>$CH46*VLOOKUP($G46,'Рецепты а.б.'!$B$5:$AW$50,EW$67,0)</f>
        <v>#N/A</v>
      </c>
      <c r="EX46" s="75" t="e">
        <f>$CH46*VLOOKUP($G46,'Рецепты а.б.'!$B$5:$AW$50,EX$67,0)</f>
        <v>#N/A</v>
      </c>
      <c r="EY46" s="75" t="e">
        <f>$CI46*VLOOKUP($G46,'Рецепты а.б.'!$B$5:$AW$50,EY$67,0)</f>
        <v>#N/A</v>
      </c>
      <c r="EZ46" s="75" t="e">
        <f>$CI46*VLOOKUP($G46,'Рецепты а.б.'!$B$5:$AW$50,EZ$67,0)</f>
        <v>#N/A</v>
      </c>
      <c r="FA46" s="75" t="e">
        <f>$CI46*VLOOKUP($G46,'Рецепты а.б.'!$B$5:$AW$50,FA$67,0)</f>
        <v>#N/A</v>
      </c>
      <c r="FB46" s="75" t="e">
        <f>$CI46*VLOOKUP($G46,'Рецепты а.б.'!$B$5:$AW$50,FB$67,0)</f>
        <v>#N/A</v>
      </c>
      <c r="FC46" s="75" t="e">
        <f>$CI46*VLOOKUP($G46,'Рецепты а.б.'!$B$5:$AW$50,FC$67,0)</f>
        <v>#N/A</v>
      </c>
      <c r="FD46" s="75" t="e">
        <f>$CI46*VLOOKUP($G46,'Рецепты а.б.'!$B$5:$AW$50,FD$67,0)</f>
        <v>#N/A</v>
      </c>
      <c r="FE46" s="75" t="e">
        <f>$CJ46*VLOOKUP($G46,'Рецепты а.б.'!$B$5:$AW$50,FE$67,0)</f>
        <v>#N/A</v>
      </c>
      <c r="FF46" s="75" t="e">
        <f>$CJ46*VLOOKUP($G46,'Рецепты а.б.'!$B$5:$AW$50,FF$67,0)</f>
        <v>#N/A</v>
      </c>
      <c r="FG46" s="75" t="e">
        <f>$CE46*VLOOKUP($G46,'Рецепты а.б.'!$B$5:$AW$50,FG$67,0)</f>
        <v>#N/A</v>
      </c>
      <c r="FH46" s="75" t="e">
        <f>$CE46*VLOOKUP($G46,'Рецепты а.б.'!$B$5:$AW$50,FH$67,0)</f>
        <v>#N/A</v>
      </c>
      <c r="FI46" s="75" t="e">
        <f>$CE46*VLOOKUP($G46,'Рецепты а.б.'!$B$5:$AW$50,FI$67,0)</f>
        <v>#N/A</v>
      </c>
      <c r="FJ46" s="75" t="e">
        <f>$CE46*VLOOKUP($G46,'Рецепты а.б.'!$B$5:$AW$50,FJ$67,0)</f>
        <v>#N/A</v>
      </c>
      <c r="FK46" s="75" t="e">
        <f>$CE46*VLOOKUP($G46,'Рецепты а.б.'!$B$5:$AW$50,FK$67,0)</f>
        <v>#N/A</v>
      </c>
      <c r="FL46" s="75" t="e">
        <f>$CE46*VLOOKUP($G46,'Рецепты а.б.'!$B$5:$AW$50,FL$67,0)</f>
        <v>#N/A</v>
      </c>
      <c r="FM46" s="75" t="e">
        <f>$CE46*VLOOKUP($G46,'Рецепты а.б.'!$B$5:$AW$50,FM$67,0)</f>
        <v>#N/A</v>
      </c>
      <c r="FN46" s="75" t="e">
        <f>$CE46*VLOOKUP($G46,'Рецепты а.б.'!$B$5:$AW$50,FN$67,0)</f>
        <v>#N/A</v>
      </c>
    </row>
    <row r="47" spans="1:170" s="64" customFormat="1" hidden="1" x14ac:dyDescent="0.2">
      <c r="A47" s="127">
        <f t="shared" si="201"/>
        <v>44</v>
      </c>
      <c r="B47" s="344"/>
      <c r="C47" s="344"/>
      <c r="D47" s="344"/>
      <c r="E47" s="420" t="s">
        <v>331</v>
      </c>
      <c r="F47" s="345"/>
      <c r="G47" s="346"/>
      <c r="H47" s="419" t="s">
        <v>206</v>
      </c>
      <c r="I47" s="347"/>
      <c r="J47" s="348"/>
      <c r="K47" s="348"/>
      <c r="L47" s="348"/>
      <c r="M47" s="348"/>
      <c r="N47" s="348"/>
      <c r="O47" s="65">
        <f t="shared" si="4"/>
        <v>0</v>
      </c>
      <c r="P47" s="342">
        <f t="shared" si="5"/>
        <v>0</v>
      </c>
      <c r="Q47" s="342"/>
      <c r="R47" s="342"/>
      <c r="S47" s="342"/>
      <c r="T47" s="65">
        <f t="shared" si="6"/>
        <v>0</v>
      </c>
      <c r="U47" s="66">
        <f t="shared" si="7"/>
        <v>0</v>
      </c>
      <c r="V47" s="66">
        <f t="shared" si="8"/>
        <v>0</v>
      </c>
      <c r="W47" s="349">
        <f t="shared" si="271"/>
        <v>0</v>
      </c>
      <c r="X47" s="350"/>
      <c r="Y47" s="350"/>
      <c r="Z47" s="351"/>
      <c r="AA47" s="66">
        <f t="shared" si="10"/>
        <v>0</v>
      </c>
      <c r="AB47" s="66">
        <f t="shared" si="11"/>
        <v>0</v>
      </c>
      <c r="AC47" s="66">
        <f t="shared" si="12"/>
        <v>0</v>
      </c>
      <c r="AD47" s="66">
        <f t="shared" si="13"/>
        <v>0</v>
      </c>
      <c r="AE47" s="66">
        <f t="shared" si="14"/>
        <v>0</v>
      </c>
      <c r="AF47" s="66">
        <f t="shared" si="208"/>
        <v>0</v>
      </c>
      <c r="AG47" s="66">
        <f t="shared" si="209"/>
        <v>0</v>
      </c>
      <c r="AH47" s="66">
        <f t="shared" si="210"/>
        <v>0</v>
      </c>
      <c r="AI47" s="66">
        <f t="shared" si="211"/>
        <v>0</v>
      </c>
      <c r="AJ47" s="66">
        <f t="shared" si="19"/>
        <v>0</v>
      </c>
      <c r="AK47" s="67">
        <f t="shared" si="275"/>
        <v>0</v>
      </c>
      <c r="AL47" s="67">
        <f t="shared" si="276"/>
        <v>0</v>
      </c>
      <c r="AM47" s="67">
        <f t="shared" si="277"/>
        <v>0</v>
      </c>
      <c r="AN47" s="67">
        <f t="shared" si="212"/>
        <v>0</v>
      </c>
      <c r="AO47" s="66">
        <f t="shared" si="24"/>
        <v>0</v>
      </c>
      <c r="AP47" s="66">
        <f t="shared" si="25"/>
        <v>0</v>
      </c>
      <c r="AQ47" s="66">
        <f t="shared" si="26"/>
        <v>0</v>
      </c>
      <c r="AR47" s="66">
        <f t="shared" si="27"/>
        <v>0</v>
      </c>
      <c r="AS47" s="66">
        <f t="shared" si="28"/>
        <v>0</v>
      </c>
      <c r="AT47" s="66">
        <f t="shared" si="29"/>
        <v>0</v>
      </c>
      <c r="AU47" s="66">
        <f t="shared" si="30"/>
        <v>0</v>
      </c>
      <c r="AV47" s="66">
        <f t="shared" si="31"/>
        <v>0</v>
      </c>
      <c r="AW47" s="66">
        <f t="shared" si="32"/>
        <v>0</v>
      </c>
      <c r="AX47" s="66">
        <f t="shared" si="33"/>
        <v>0</v>
      </c>
      <c r="AY47" s="66">
        <f t="shared" si="34"/>
        <v>0</v>
      </c>
      <c r="AZ47" s="66">
        <f t="shared" si="35"/>
        <v>0</v>
      </c>
      <c r="BA47" s="66">
        <f t="shared" si="36"/>
        <v>0</v>
      </c>
      <c r="BB47" s="66">
        <f t="shared" si="37"/>
        <v>0</v>
      </c>
      <c r="BC47" s="66">
        <f t="shared" si="38"/>
        <v>0</v>
      </c>
      <c r="BD47" s="66">
        <f t="shared" si="39"/>
        <v>0</v>
      </c>
      <c r="BE47" s="66">
        <f t="shared" si="40"/>
        <v>0</v>
      </c>
      <c r="BF47" s="66">
        <f t="shared" si="41"/>
        <v>0</v>
      </c>
      <c r="BG47" s="66">
        <f t="shared" si="42"/>
        <v>0</v>
      </c>
      <c r="BH47" s="66">
        <f t="shared" si="43"/>
        <v>0</v>
      </c>
      <c r="BI47" s="66">
        <f t="shared" si="44"/>
        <v>0</v>
      </c>
      <c r="BJ47" s="68">
        <f t="shared" si="45"/>
        <v>0</v>
      </c>
      <c r="BK47" s="352">
        <v>1</v>
      </c>
      <c r="BL47" s="352">
        <v>12</v>
      </c>
      <c r="BM47" s="263">
        <v>1</v>
      </c>
      <c r="BN47" s="263">
        <v>12</v>
      </c>
      <c r="BO47" s="69">
        <f t="shared" si="263"/>
        <v>42186</v>
      </c>
      <c r="BP47" s="69">
        <f t="shared" si="264"/>
        <v>42552</v>
      </c>
      <c r="BQ47" s="70">
        <f t="shared" si="213"/>
        <v>6.54E-2</v>
      </c>
      <c r="BR47" s="285">
        <f t="shared" si="214"/>
        <v>0.1391</v>
      </c>
      <c r="BS47" s="68">
        <f t="shared" si="48"/>
        <v>0</v>
      </c>
      <c r="BT47" s="68">
        <f t="shared" si="49"/>
        <v>0</v>
      </c>
      <c r="BU47" s="353"/>
      <c r="BV47" s="71" t="e">
        <f t="shared" si="50"/>
        <v>#DIV/0!</v>
      </c>
      <c r="BW47" s="72"/>
      <c r="BX47" s="73" t="e">
        <f t="shared" si="215"/>
        <v>#DIV/0!</v>
      </c>
      <c r="BY47" s="73" t="e">
        <f t="shared" si="216"/>
        <v>#DIV/0!</v>
      </c>
      <c r="BZ47" s="73" t="e">
        <f t="shared" si="217"/>
        <v>#DIV/0!</v>
      </c>
      <c r="CA47" s="73" t="e">
        <f t="shared" si="218"/>
        <v>#DIV/0!</v>
      </c>
      <c r="CB47" s="73" t="e">
        <f t="shared" si="219"/>
        <v>#DIV/0!</v>
      </c>
      <c r="CD47" s="354"/>
      <c r="CE47" s="354"/>
      <c r="CF47" s="354"/>
      <c r="CG47" s="354"/>
      <c r="CH47" s="354"/>
      <c r="CI47" s="354"/>
      <c r="CJ47" s="354"/>
      <c r="CK47" s="354"/>
      <c r="CL47" s="354"/>
      <c r="CM47" s="354"/>
      <c r="CN47" s="354"/>
      <c r="CO47" s="354"/>
      <c r="CP47" s="354"/>
      <c r="CQ47" s="354"/>
      <c r="CR47" s="354"/>
      <c r="CS47" s="354"/>
      <c r="CT47" s="354"/>
      <c r="CU47" s="354"/>
      <c r="CV47" s="354"/>
      <c r="CW47" s="354"/>
      <c r="CX47" s="354"/>
      <c r="CY47" s="354"/>
      <c r="CZ47" s="354"/>
      <c r="DA47" s="354"/>
      <c r="DB47" s="354"/>
      <c r="DC47" s="354"/>
      <c r="DD47" s="95"/>
      <c r="DE47" s="45"/>
      <c r="DF47" s="76"/>
      <c r="DG47" s="77">
        <f t="shared" si="56"/>
        <v>0</v>
      </c>
      <c r="DH47" s="68">
        <f t="shared" si="57"/>
        <v>0</v>
      </c>
      <c r="DI47" s="78"/>
      <c r="DJ47" s="189"/>
      <c r="DL47" s="146">
        <f t="shared" si="220"/>
        <v>0</v>
      </c>
      <c r="DM47" s="146">
        <f t="shared" si="270"/>
        <v>0</v>
      </c>
      <c r="DN47" s="146">
        <f t="shared" si="221"/>
        <v>0</v>
      </c>
      <c r="DO47" s="146">
        <f t="shared" si="222"/>
        <v>0</v>
      </c>
      <c r="DP47" s="146">
        <f t="shared" si="223"/>
        <v>0</v>
      </c>
      <c r="DQ47" s="146">
        <f t="shared" si="224"/>
        <v>0</v>
      </c>
      <c r="DR47" s="146">
        <f t="shared" si="225"/>
        <v>0</v>
      </c>
      <c r="DS47" s="146">
        <f t="shared" si="226"/>
        <v>0</v>
      </c>
      <c r="DT47" s="146">
        <f t="shared" si="227"/>
        <v>0</v>
      </c>
      <c r="DU47" s="146">
        <f t="shared" si="228"/>
        <v>0</v>
      </c>
      <c r="DV47" s="146">
        <f t="shared" si="229"/>
        <v>0</v>
      </c>
      <c r="DW47" s="181">
        <f t="shared" si="230"/>
        <v>0</v>
      </c>
      <c r="DY47" s="183" t="e">
        <f>$CD47*VLOOKUP($G47,'Рецепты а.б.'!$B$5:$AW$50,DY$67,0)</f>
        <v>#N/A</v>
      </c>
      <c r="DZ47" s="75" t="e">
        <f>$CD47*VLOOKUP($G47,'Рецепты а.б.'!$B$5:$AW$50,DZ$67,0)</f>
        <v>#N/A</v>
      </c>
      <c r="EA47" s="75" t="e">
        <f>$CD47*VLOOKUP($G47,'Рецепты а.б.'!$B$5:$AW$50,EA$67,0)</f>
        <v>#N/A</v>
      </c>
      <c r="EB47" s="75" t="e">
        <f>$CD47*VLOOKUP($G47,'Рецепты а.б.'!$B$5:$AW$50,EB$67,0)</f>
        <v>#N/A</v>
      </c>
      <c r="EC47" s="75" t="e">
        <f>$CD47*VLOOKUP($G47,'Рецепты а.б.'!$B$5:$AW$50,EC$67,0)</f>
        <v>#N/A</v>
      </c>
      <c r="ED47" s="75" t="e">
        <f>$CD47*VLOOKUP($G47,'Рецепты а.б.'!$B$5:$AW$50,ED$67,0)</f>
        <v>#N/A</v>
      </c>
      <c r="EE47" s="75" t="e">
        <f>$CD47*VLOOKUP($G47,'Рецепты а.б.'!$B$5:$AW$50,EE$67,0)</f>
        <v>#N/A</v>
      </c>
      <c r="EF47" s="75" t="e">
        <f>$CF47*VLOOKUP($G47,'Рецепты а.б.'!$B$5:$AW$50,EF$67,0)</f>
        <v>#N/A</v>
      </c>
      <c r="EG47" s="75" t="e">
        <f>$CF47*VLOOKUP($G47,'Рецепты а.б.'!$B$5:$AW$50,EG$67,0)</f>
        <v>#N/A</v>
      </c>
      <c r="EH47" s="75" t="e">
        <f>$CF47*VLOOKUP($G47,'Рецепты а.б.'!$B$5:$AW$50,EH$67,0)</f>
        <v>#N/A</v>
      </c>
      <c r="EI47" s="75" t="e">
        <f>$CF47*VLOOKUP($G47,'Рецепты а.б.'!$B$5:$AW$50,EI$67,0)</f>
        <v>#N/A</v>
      </c>
      <c r="EJ47" s="75" t="e">
        <f>$CF47*VLOOKUP($G47,'Рецепты а.б.'!$B$5:$AW$50,EJ$67,0)</f>
        <v>#N/A</v>
      </c>
      <c r="EK47" s="75" t="e">
        <f>$CF47*VLOOKUP($G47,'Рецепты а.б.'!$B$5:$AW$50,EK$67,0)</f>
        <v>#N/A</v>
      </c>
      <c r="EL47" s="75" t="e">
        <f>$CF47*VLOOKUP($G47,'Рецепты а.б.'!$B$5:$AW$50,EL$67,0)</f>
        <v>#N/A</v>
      </c>
      <c r="EM47" s="75" t="e">
        <f>$CG47*VLOOKUP($G47,'Рецепты а.б.'!$B$5:$AW$50,EM$67,0)</f>
        <v>#N/A</v>
      </c>
      <c r="EN47" s="75" t="e">
        <f>$CG47*VLOOKUP($G47,'Рецепты а.б.'!$B$5:$AW$50,EN$67,0)</f>
        <v>#N/A</v>
      </c>
      <c r="EO47" s="75" t="e">
        <f>$CG47*VLOOKUP($G47,'Рецепты а.б.'!$B$5:$AW$50,EO$67,0)</f>
        <v>#N/A</v>
      </c>
      <c r="EP47" s="75" t="e">
        <f>$CG47*VLOOKUP($G47,'Рецепты а.б.'!$B$5:$AW$50,EP$67,0)</f>
        <v>#N/A</v>
      </c>
      <c r="EQ47" s="75" t="e">
        <f>$CG47*VLOOKUP($G47,'Рецепты а.б.'!$B$5:$AW$50,EQ$67,0)</f>
        <v>#N/A</v>
      </c>
      <c r="ER47" s="75" t="e">
        <f>$CG47*VLOOKUP($G47,'Рецепты а.б.'!$B$5:$AW$50,ER$67,0)</f>
        <v>#N/A</v>
      </c>
      <c r="ES47" s="75" t="e">
        <f>$CG47*VLOOKUP($G47,'Рецепты а.б.'!$B$5:$AW$50,ES$67,0)</f>
        <v>#N/A</v>
      </c>
      <c r="ET47" s="75" t="e">
        <f>$CH47*VLOOKUP($G47,'Рецепты а.б.'!$B$5:$AW$50,ET$67,0)</f>
        <v>#N/A</v>
      </c>
      <c r="EU47" s="75" t="e">
        <f>$CH47*VLOOKUP($G47,'Рецепты а.б.'!$B$5:$AW$50,EU$67,0)</f>
        <v>#N/A</v>
      </c>
      <c r="EV47" s="75" t="e">
        <f>$CH47*VLOOKUP($G47,'Рецепты а.б.'!$B$5:$AW$50,EV$67,0)</f>
        <v>#N/A</v>
      </c>
      <c r="EW47" s="75" t="e">
        <f>$CH47*VLOOKUP($G47,'Рецепты а.б.'!$B$5:$AW$50,EW$67,0)</f>
        <v>#N/A</v>
      </c>
      <c r="EX47" s="75" t="e">
        <f>$CH47*VLOOKUP($G47,'Рецепты а.б.'!$B$5:$AW$50,EX$67,0)</f>
        <v>#N/A</v>
      </c>
      <c r="EY47" s="75" t="e">
        <f>$CI47*VLOOKUP($G47,'Рецепты а.б.'!$B$5:$AW$50,EY$67,0)</f>
        <v>#N/A</v>
      </c>
      <c r="EZ47" s="75" t="e">
        <f>$CI47*VLOOKUP($G47,'Рецепты а.б.'!$B$5:$AW$50,EZ$67,0)</f>
        <v>#N/A</v>
      </c>
      <c r="FA47" s="75" t="e">
        <f>$CI47*VLOOKUP($G47,'Рецепты а.б.'!$B$5:$AW$50,FA$67,0)</f>
        <v>#N/A</v>
      </c>
      <c r="FB47" s="75" t="e">
        <f>$CI47*VLOOKUP($G47,'Рецепты а.б.'!$B$5:$AW$50,FB$67,0)</f>
        <v>#N/A</v>
      </c>
      <c r="FC47" s="75" t="e">
        <f>$CI47*VLOOKUP($G47,'Рецепты а.б.'!$B$5:$AW$50,FC$67,0)</f>
        <v>#N/A</v>
      </c>
      <c r="FD47" s="75" t="e">
        <f>$CI47*VLOOKUP($G47,'Рецепты а.б.'!$B$5:$AW$50,FD$67,0)</f>
        <v>#N/A</v>
      </c>
      <c r="FE47" s="75" t="e">
        <f>$CJ47*VLOOKUP($G47,'Рецепты а.б.'!$B$5:$AW$50,FE$67,0)</f>
        <v>#N/A</v>
      </c>
      <c r="FF47" s="75" t="e">
        <f>$CJ47*VLOOKUP($G47,'Рецепты а.б.'!$B$5:$AW$50,FF$67,0)</f>
        <v>#N/A</v>
      </c>
      <c r="FG47" s="75" t="e">
        <f>$CE47*VLOOKUP($G47,'Рецепты а.б.'!$B$5:$AW$50,FG$67,0)</f>
        <v>#N/A</v>
      </c>
      <c r="FH47" s="75" t="e">
        <f>$CE47*VLOOKUP($G47,'Рецепты а.б.'!$B$5:$AW$50,FH$67,0)</f>
        <v>#N/A</v>
      </c>
      <c r="FI47" s="75" t="e">
        <f>$CE47*VLOOKUP($G47,'Рецепты а.б.'!$B$5:$AW$50,FI$67,0)</f>
        <v>#N/A</v>
      </c>
      <c r="FJ47" s="75" t="e">
        <f>$CE47*VLOOKUP($G47,'Рецепты а.б.'!$B$5:$AW$50,FJ$67,0)</f>
        <v>#N/A</v>
      </c>
      <c r="FK47" s="75" t="e">
        <f>$CE47*VLOOKUP($G47,'Рецепты а.б.'!$B$5:$AW$50,FK$67,0)</f>
        <v>#N/A</v>
      </c>
      <c r="FL47" s="75" t="e">
        <f>$CE47*VLOOKUP($G47,'Рецепты а.б.'!$B$5:$AW$50,FL$67,0)</f>
        <v>#N/A</v>
      </c>
      <c r="FM47" s="75" t="e">
        <f>$CE47*VLOOKUP($G47,'Рецепты а.б.'!$B$5:$AW$50,FM$67,0)</f>
        <v>#N/A</v>
      </c>
      <c r="FN47" s="75" t="e">
        <f>$CE47*VLOOKUP($G47,'Рецепты а.б.'!$B$5:$AW$50,FN$67,0)</f>
        <v>#N/A</v>
      </c>
    </row>
    <row r="48" spans="1:170" s="64" customFormat="1" hidden="1" x14ac:dyDescent="0.2">
      <c r="A48" s="127">
        <f t="shared" si="201"/>
        <v>45</v>
      </c>
      <c r="B48" s="344"/>
      <c r="C48" s="344"/>
      <c r="D48" s="344"/>
      <c r="E48" s="420" t="s">
        <v>331</v>
      </c>
      <c r="F48" s="345"/>
      <c r="G48" s="346"/>
      <c r="H48" s="419" t="s">
        <v>206</v>
      </c>
      <c r="I48" s="347"/>
      <c r="J48" s="348"/>
      <c r="K48" s="348"/>
      <c r="L48" s="348"/>
      <c r="M48" s="348"/>
      <c r="N48" s="348"/>
      <c r="O48" s="65">
        <f t="shared" si="4"/>
        <v>0</v>
      </c>
      <c r="P48" s="342">
        <f t="shared" si="5"/>
        <v>0</v>
      </c>
      <c r="Q48" s="342"/>
      <c r="R48" s="342"/>
      <c r="S48" s="342"/>
      <c r="T48" s="65">
        <f t="shared" si="6"/>
        <v>0</v>
      </c>
      <c r="U48" s="66">
        <f t="shared" si="7"/>
        <v>0</v>
      </c>
      <c r="V48" s="66">
        <f t="shared" si="8"/>
        <v>0</v>
      </c>
      <c r="W48" s="349">
        <f t="shared" si="271"/>
        <v>0</v>
      </c>
      <c r="X48" s="350"/>
      <c r="Y48" s="350"/>
      <c r="Z48" s="351"/>
      <c r="AA48" s="66">
        <f t="shared" si="10"/>
        <v>0</v>
      </c>
      <c r="AB48" s="66">
        <f t="shared" si="11"/>
        <v>0</v>
      </c>
      <c r="AC48" s="66">
        <f t="shared" si="12"/>
        <v>0</v>
      </c>
      <c r="AD48" s="66">
        <f t="shared" si="13"/>
        <v>0</v>
      </c>
      <c r="AE48" s="66">
        <f t="shared" si="14"/>
        <v>0</v>
      </c>
      <c r="AF48" s="66">
        <f t="shared" si="208"/>
        <v>0</v>
      </c>
      <c r="AG48" s="66">
        <f t="shared" si="209"/>
        <v>0</v>
      </c>
      <c r="AH48" s="66">
        <f t="shared" si="210"/>
        <v>0</v>
      </c>
      <c r="AI48" s="66">
        <f t="shared" si="211"/>
        <v>0</v>
      </c>
      <c r="AJ48" s="66">
        <f t="shared" si="19"/>
        <v>0</v>
      </c>
      <c r="AK48" s="67">
        <f t="shared" si="275"/>
        <v>0</v>
      </c>
      <c r="AL48" s="67">
        <f t="shared" si="276"/>
        <v>0</v>
      </c>
      <c r="AM48" s="67">
        <f t="shared" si="277"/>
        <v>0</v>
      </c>
      <c r="AN48" s="67">
        <f t="shared" si="212"/>
        <v>0</v>
      </c>
      <c r="AO48" s="66">
        <f t="shared" si="24"/>
        <v>0</v>
      </c>
      <c r="AP48" s="66">
        <f t="shared" si="25"/>
        <v>0</v>
      </c>
      <c r="AQ48" s="66">
        <f t="shared" si="26"/>
        <v>0</v>
      </c>
      <c r="AR48" s="66">
        <f t="shared" si="27"/>
        <v>0</v>
      </c>
      <c r="AS48" s="66">
        <f t="shared" si="28"/>
        <v>0</v>
      </c>
      <c r="AT48" s="66">
        <f t="shared" si="29"/>
        <v>0</v>
      </c>
      <c r="AU48" s="66">
        <f t="shared" si="30"/>
        <v>0</v>
      </c>
      <c r="AV48" s="66">
        <f t="shared" si="31"/>
        <v>0</v>
      </c>
      <c r="AW48" s="66">
        <f t="shared" si="32"/>
        <v>0</v>
      </c>
      <c r="AX48" s="66">
        <f t="shared" si="33"/>
        <v>0</v>
      </c>
      <c r="AY48" s="66">
        <f t="shared" si="34"/>
        <v>0</v>
      </c>
      <c r="AZ48" s="66">
        <f t="shared" si="35"/>
        <v>0</v>
      </c>
      <c r="BA48" s="66">
        <f t="shared" si="36"/>
        <v>0</v>
      </c>
      <c r="BB48" s="66">
        <f t="shared" si="37"/>
        <v>0</v>
      </c>
      <c r="BC48" s="66">
        <f t="shared" si="38"/>
        <v>0</v>
      </c>
      <c r="BD48" s="66">
        <f t="shared" si="39"/>
        <v>0</v>
      </c>
      <c r="BE48" s="66">
        <f t="shared" si="40"/>
        <v>0</v>
      </c>
      <c r="BF48" s="66">
        <f t="shared" si="41"/>
        <v>0</v>
      </c>
      <c r="BG48" s="66">
        <f t="shared" si="42"/>
        <v>0</v>
      </c>
      <c r="BH48" s="66">
        <f t="shared" si="43"/>
        <v>0</v>
      </c>
      <c r="BI48" s="66">
        <f t="shared" si="44"/>
        <v>0</v>
      </c>
      <c r="BJ48" s="68">
        <f t="shared" si="45"/>
        <v>0</v>
      </c>
      <c r="BK48" s="352">
        <v>1</v>
      </c>
      <c r="BL48" s="352">
        <v>12</v>
      </c>
      <c r="BM48" s="263">
        <v>1</v>
      </c>
      <c r="BN48" s="263">
        <v>12</v>
      </c>
      <c r="BO48" s="69">
        <f t="shared" si="263"/>
        <v>42186</v>
      </c>
      <c r="BP48" s="69">
        <f t="shared" si="264"/>
        <v>42552</v>
      </c>
      <c r="BQ48" s="70">
        <f t="shared" si="213"/>
        <v>6.54E-2</v>
      </c>
      <c r="BR48" s="285">
        <f t="shared" si="214"/>
        <v>0.1391</v>
      </c>
      <c r="BS48" s="68">
        <f t="shared" si="48"/>
        <v>0</v>
      </c>
      <c r="BT48" s="68">
        <f t="shared" si="49"/>
        <v>0</v>
      </c>
      <c r="BU48" s="353"/>
      <c r="BV48" s="71" t="e">
        <f t="shared" si="50"/>
        <v>#DIV/0!</v>
      </c>
      <c r="BW48" s="72"/>
      <c r="BX48" s="73" t="e">
        <f t="shared" si="215"/>
        <v>#DIV/0!</v>
      </c>
      <c r="BY48" s="73" t="e">
        <f t="shared" si="216"/>
        <v>#DIV/0!</v>
      </c>
      <c r="BZ48" s="73" t="e">
        <f t="shared" si="217"/>
        <v>#DIV/0!</v>
      </c>
      <c r="CA48" s="73" t="e">
        <f t="shared" si="218"/>
        <v>#DIV/0!</v>
      </c>
      <c r="CB48" s="73" t="e">
        <f t="shared" si="219"/>
        <v>#DIV/0!</v>
      </c>
      <c r="CD48" s="354"/>
      <c r="CE48" s="354"/>
      <c r="CF48" s="354"/>
      <c r="CG48" s="354"/>
      <c r="CH48" s="354"/>
      <c r="CI48" s="354"/>
      <c r="CJ48" s="354"/>
      <c r="CK48" s="354"/>
      <c r="CL48" s="354"/>
      <c r="CM48" s="354"/>
      <c r="CN48" s="354"/>
      <c r="CO48" s="354"/>
      <c r="CP48" s="354"/>
      <c r="CQ48" s="354"/>
      <c r="CR48" s="354"/>
      <c r="CS48" s="354"/>
      <c r="CT48" s="354"/>
      <c r="CU48" s="354"/>
      <c r="CV48" s="354"/>
      <c r="CW48" s="354"/>
      <c r="CX48" s="354"/>
      <c r="CY48" s="354"/>
      <c r="CZ48" s="354"/>
      <c r="DA48" s="354"/>
      <c r="DB48" s="354"/>
      <c r="DC48" s="354"/>
      <c r="DD48" s="95"/>
      <c r="DE48" s="45"/>
      <c r="DF48" s="76"/>
      <c r="DG48" s="77">
        <f t="shared" si="56"/>
        <v>0</v>
      </c>
      <c r="DH48" s="68">
        <f t="shared" si="57"/>
        <v>0</v>
      </c>
      <c r="DI48" s="78"/>
      <c r="DJ48" s="189"/>
      <c r="DL48" s="146">
        <f t="shared" si="220"/>
        <v>0</v>
      </c>
      <c r="DM48" s="146">
        <f t="shared" si="270"/>
        <v>0</v>
      </c>
      <c r="DN48" s="146">
        <f t="shared" si="221"/>
        <v>0</v>
      </c>
      <c r="DO48" s="146">
        <f t="shared" si="222"/>
        <v>0</v>
      </c>
      <c r="DP48" s="146">
        <f t="shared" si="223"/>
        <v>0</v>
      </c>
      <c r="DQ48" s="146">
        <f t="shared" si="224"/>
        <v>0</v>
      </c>
      <c r="DR48" s="146">
        <f t="shared" si="225"/>
        <v>0</v>
      </c>
      <c r="DS48" s="146">
        <f t="shared" si="226"/>
        <v>0</v>
      </c>
      <c r="DT48" s="146">
        <f t="shared" si="227"/>
        <v>0</v>
      </c>
      <c r="DU48" s="146">
        <f t="shared" si="228"/>
        <v>0</v>
      </c>
      <c r="DV48" s="146">
        <f t="shared" si="229"/>
        <v>0</v>
      </c>
      <c r="DW48" s="181">
        <f t="shared" si="230"/>
        <v>0</v>
      </c>
      <c r="DY48" s="183" t="e">
        <f>$CD48*VLOOKUP($G48,'Рецепты а.б.'!$B$5:$AW$50,DY$67,0)</f>
        <v>#N/A</v>
      </c>
      <c r="DZ48" s="75" t="e">
        <f>$CD48*VLOOKUP($G48,'Рецепты а.б.'!$B$5:$AW$50,DZ$67,0)</f>
        <v>#N/A</v>
      </c>
      <c r="EA48" s="75" t="e">
        <f>$CD48*VLOOKUP($G48,'Рецепты а.б.'!$B$5:$AW$50,EA$67,0)</f>
        <v>#N/A</v>
      </c>
      <c r="EB48" s="75" t="e">
        <f>$CD48*VLOOKUP($G48,'Рецепты а.б.'!$B$5:$AW$50,EB$67,0)</f>
        <v>#N/A</v>
      </c>
      <c r="EC48" s="75" t="e">
        <f>$CD48*VLOOKUP($G48,'Рецепты а.б.'!$B$5:$AW$50,EC$67,0)</f>
        <v>#N/A</v>
      </c>
      <c r="ED48" s="75" t="e">
        <f>$CD48*VLOOKUP($G48,'Рецепты а.б.'!$B$5:$AW$50,ED$67,0)</f>
        <v>#N/A</v>
      </c>
      <c r="EE48" s="75" t="e">
        <f>$CD48*VLOOKUP($G48,'Рецепты а.б.'!$B$5:$AW$50,EE$67,0)</f>
        <v>#N/A</v>
      </c>
      <c r="EF48" s="75" t="e">
        <f>$CF48*VLOOKUP($G48,'Рецепты а.б.'!$B$5:$AW$50,EF$67,0)</f>
        <v>#N/A</v>
      </c>
      <c r="EG48" s="75" t="e">
        <f>$CF48*VLOOKUP($G48,'Рецепты а.б.'!$B$5:$AW$50,EG$67,0)</f>
        <v>#N/A</v>
      </c>
      <c r="EH48" s="75" t="e">
        <f>$CF48*VLOOKUP($G48,'Рецепты а.б.'!$B$5:$AW$50,EH$67,0)</f>
        <v>#N/A</v>
      </c>
      <c r="EI48" s="75" t="e">
        <f>$CF48*VLOOKUP($G48,'Рецепты а.б.'!$B$5:$AW$50,EI$67,0)</f>
        <v>#N/A</v>
      </c>
      <c r="EJ48" s="75" t="e">
        <f>$CF48*VLOOKUP($G48,'Рецепты а.б.'!$B$5:$AW$50,EJ$67,0)</f>
        <v>#N/A</v>
      </c>
      <c r="EK48" s="75" t="e">
        <f>$CF48*VLOOKUP($G48,'Рецепты а.б.'!$B$5:$AW$50,EK$67,0)</f>
        <v>#N/A</v>
      </c>
      <c r="EL48" s="75" t="e">
        <f>$CF48*VLOOKUP($G48,'Рецепты а.б.'!$B$5:$AW$50,EL$67,0)</f>
        <v>#N/A</v>
      </c>
      <c r="EM48" s="75" t="e">
        <f>$CG48*VLOOKUP($G48,'Рецепты а.б.'!$B$5:$AW$50,EM$67,0)</f>
        <v>#N/A</v>
      </c>
      <c r="EN48" s="75" t="e">
        <f>$CG48*VLOOKUP($G48,'Рецепты а.б.'!$B$5:$AW$50,EN$67,0)</f>
        <v>#N/A</v>
      </c>
      <c r="EO48" s="75" t="e">
        <f>$CG48*VLOOKUP($G48,'Рецепты а.б.'!$B$5:$AW$50,EO$67,0)</f>
        <v>#N/A</v>
      </c>
      <c r="EP48" s="75" t="e">
        <f>$CG48*VLOOKUP($G48,'Рецепты а.б.'!$B$5:$AW$50,EP$67,0)</f>
        <v>#N/A</v>
      </c>
      <c r="EQ48" s="75" t="e">
        <f>$CG48*VLOOKUP($G48,'Рецепты а.б.'!$B$5:$AW$50,EQ$67,0)</f>
        <v>#N/A</v>
      </c>
      <c r="ER48" s="75" t="e">
        <f>$CG48*VLOOKUP($G48,'Рецепты а.б.'!$B$5:$AW$50,ER$67,0)</f>
        <v>#N/A</v>
      </c>
      <c r="ES48" s="75" t="e">
        <f>$CG48*VLOOKUP($G48,'Рецепты а.б.'!$B$5:$AW$50,ES$67,0)</f>
        <v>#N/A</v>
      </c>
      <c r="ET48" s="75" t="e">
        <f>$CH48*VLOOKUP($G48,'Рецепты а.б.'!$B$5:$AW$50,ET$67,0)</f>
        <v>#N/A</v>
      </c>
      <c r="EU48" s="75" t="e">
        <f>$CH48*VLOOKUP($G48,'Рецепты а.б.'!$B$5:$AW$50,EU$67,0)</f>
        <v>#N/A</v>
      </c>
      <c r="EV48" s="75" t="e">
        <f>$CH48*VLOOKUP($G48,'Рецепты а.б.'!$B$5:$AW$50,EV$67,0)</f>
        <v>#N/A</v>
      </c>
      <c r="EW48" s="75" t="e">
        <f>$CH48*VLOOKUP($G48,'Рецепты а.б.'!$B$5:$AW$50,EW$67,0)</f>
        <v>#N/A</v>
      </c>
      <c r="EX48" s="75" t="e">
        <f>$CH48*VLOOKUP($G48,'Рецепты а.б.'!$B$5:$AW$50,EX$67,0)</f>
        <v>#N/A</v>
      </c>
      <c r="EY48" s="75" t="e">
        <f>$CI48*VLOOKUP($G48,'Рецепты а.б.'!$B$5:$AW$50,EY$67,0)</f>
        <v>#N/A</v>
      </c>
      <c r="EZ48" s="75" t="e">
        <f>$CI48*VLOOKUP($G48,'Рецепты а.б.'!$B$5:$AW$50,EZ$67,0)</f>
        <v>#N/A</v>
      </c>
      <c r="FA48" s="75" t="e">
        <f>$CI48*VLOOKUP($G48,'Рецепты а.б.'!$B$5:$AW$50,FA$67,0)</f>
        <v>#N/A</v>
      </c>
      <c r="FB48" s="75" t="e">
        <f>$CI48*VLOOKUP($G48,'Рецепты а.б.'!$B$5:$AW$50,FB$67,0)</f>
        <v>#N/A</v>
      </c>
      <c r="FC48" s="75" t="e">
        <f>$CI48*VLOOKUP($G48,'Рецепты а.б.'!$B$5:$AW$50,FC$67,0)</f>
        <v>#N/A</v>
      </c>
      <c r="FD48" s="75" t="e">
        <f>$CI48*VLOOKUP($G48,'Рецепты а.б.'!$B$5:$AW$50,FD$67,0)</f>
        <v>#N/A</v>
      </c>
      <c r="FE48" s="75" t="e">
        <f>$CJ48*VLOOKUP($G48,'Рецепты а.б.'!$B$5:$AW$50,FE$67,0)</f>
        <v>#N/A</v>
      </c>
      <c r="FF48" s="75" t="e">
        <f>$CJ48*VLOOKUP($G48,'Рецепты а.б.'!$B$5:$AW$50,FF$67,0)</f>
        <v>#N/A</v>
      </c>
      <c r="FG48" s="75" t="e">
        <f>$CE48*VLOOKUP($G48,'Рецепты а.б.'!$B$5:$AW$50,FG$67,0)</f>
        <v>#N/A</v>
      </c>
      <c r="FH48" s="75" t="e">
        <f>$CE48*VLOOKUP($G48,'Рецепты а.б.'!$B$5:$AW$50,FH$67,0)</f>
        <v>#N/A</v>
      </c>
      <c r="FI48" s="75" t="e">
        <f>$CE48*VLOOKUP($G48,'Рецепты а.б.'!$B$5:$AW$50,FI$67,0)</f>
        <v>#N/A</v>
      </c>
      <c r="FJ48" s="75" t="e">
        <f>$CE48*VLOOKUP($G48,'Рецепты а.б.'!$B$5:$AW$50,FJ$67,0)</f>
        <v>#N/A</v>
      </c>
      <c r="FK48" s="75" t="e">
        <f>$CE48*VLOOKUP($G48,'Рецепты а.б.'!$B$5:$AW$50,FK$67,0)</f>
        <v>#N/A</v>
      </c>
      <c r="FL48" s="75" t="e">
        <f>$CE48*VLOOKUP($G48,'Рецепты а.б.'!$B$5:$AW$50,FL$67,0)</f>
        <v>#N/A</v>
      </c>
      <c r="FM48" s="75" t="e">
        <f>$CE48*VLOOKUP($G48,'Рецепты а.б.'!$B$5:$AW$50,FM$67,0)</f>
        <v>#N/A</v>
      </c>
      <c r="FN48" s="75" t="e">
        <f>$CE48*VLOOKUP($G48,'Рецепты а.б.'!$B$5:$AW$50,FN$67,0)</f>
        <v>#N/A</v>
      </c>
    </row>
    <row r="49" spans="1:170" s="64" customFormat="1" hidden="1" x14ac:dyDescent="0.2">
      <c r="A49" s="127">
        <f t="shared" si="201"/>
        <v>46</v>
      </c>
      <c r="B49" s="344"/>
      <c r="C49" s="344"/>
      <c r="D49" s="344"/>
      <c r="E49" s="420" t="s">
        <v>331</v>
      </c>
      <c r="F49" s="345"/>
      <c r="G49" s="346"/>
      <c r="H49" s="419" t="s">
        <v>206</v>
      </c>
      <c r="I49" s="347"/>
      <c r="J49" s="348"/>
      <c r="K49" s="348"/>
      <c r="L49" s="348"/>
      <c r="M49" s="348"/>
      <c r="N49" s="348"/>
      <c r="O49" s="65">
        <f t="shared" si="4"/>
        <v>0</v>
      </c>
      <c r="P49" s="342">
        <f t="shared" si="5"/>
        <v>0</v>
      </c>
      <c r="Q49" s="342"/>
      <c r="R49" s="342"/>
      <c r="S49" s="342"/>
      <c r="T49" s="65">
        <f t="shared" si="6"/>
        <v>0</v>
      </c>
      <c r="U49" s="66">
        <f t="shared" si="7"/>
        <v>0</v>
      </c>
      <c r="V49" s="66">
        <f t="shared" si="8"/>
        <v>0</v>
      </c>
      <c r="W49" s="349">
        <f t="shared" si="271"/>
        <v>0</v>
      </c>
      <c r="X49" s="350"/>
      <c r="Y49" s="350"/>
      <c r="Z49" s="351"/>
      <c r="AA49" s="66">
        <f t="shared" si="10"/>
        <v>0</v>
      </c>
      <c r="AB49" s="66">
        <f t="shared" si="11"/>
        <v>0</v>
      </c>
      <c r="AC49" s="66">
        <f t="shared" si="12"/>
        <v>0</v>
      </c>
      <c r="AD49" s="66">
        <f t="shared" si="13"/>
        <v>0</v>
      </c>
      <c r="AE49" s="66">
        <f t="shared" si="14"/>
        <v>0</v>
      </c>
      <c r="AF49" s="66">
        <f t="shared" si="208"/>
        <v>0</v>
      </c>
      <c r="AG49" s="66">
        <f t="shared" si="209"/>
        <v>0</v>
      </c>
      <c r="AH49" s="66">
        <f t="shared" si="210"/>
        <v>0</v>
      </c>
      <c r="AI49" s="66">
        <f t="shared" si="211"/>
        <v>0</v>
      </c>
      <c r="AJ49" s="66">
        <f t="shared" si="19"/>
        <v>0</v>
      </c>
      <c r="AK49" s="67">
        <f t="shared" si="275"/>
        <v>0</v>
      </c>
      <c r="AL49" s="67">
        <f t="shared" si="276"/>
        <v>0</v>
      </c>
      <c r="AM49" s="67">
        <f t="shared" si="277"/>
        <v>0</v>
      </c>
      <c r="AN49" s="67">
        <f t="shared" si="212"/>
        <v>0</v>
      </c>
      <c r="AO49" s="66">
        <f t="shared" si="24"/>
        <v>0</v>
      </c>
      <c r="AP49" s="66">
        <f t="shared" si="25"/>
        <v>0</v>
      </c>
      <c r="AQ49" s="66">
        <f t="shared" si="26"/>
        <v>0</v>
      </c>
      <c r="AR49" s="66">
        <f t="shared" si="27"/>
        <v>0</v>
      </c>
      <c r="AS49" s="66">
        <f t="shared" si="28"/>
        <v>0</v>
      </c>
      <c r="AT49" s="66">
        <f t="shared" si="29"/>
        <v>0</v>
      </c>
      <c r="AU49" s="66">
        <f t="shared" si="30"/>
        <v>0</v>
      </c>
      <c r="AV49" s="66">
        <f t="shared" si="31"/>
        <v>0</v>
      </c>
      <c r="AW49" s="66">
        <f t="shared" si="32"/>
        <v>0</v>
      </c>
      <c r="AX49" s="66">
        <f t="shared" si="33"/>
        <v>0</v>
      </c>
      <c r="AY49" s="66">
        <f t="shared" si="34"/>
        <v>0</v>
      </c>
      <c r="AZ49" s="66">
        <f t="shared" si="35"/>
        <v>0</v>
      </c>
      <c r="BA49" s="66">
        <f t="shared" si="36"/>
        <v>0</v>
      </c>
      <c r="BB49" s="66">
        <f t="shared" si="37"/>
        <v>0</v>
      </c>
      <c r="BC49" s="66">
        <f t="shared" si="38"/>
        <v>0</v>
      </c>
      <c r="BD49" s="66">
        <f t="shared" si="39"/>
        <v>0</v>
      </c>
      <c r="BE49" s="66">
        <f t="shared" si="40"/>
        <v>0</v>
      </c>
      <c r="BF49" s="66">
        <f t="shared" si="41"/>
        <v>0</v>
      </c>
      <c r="BG49" s="66">
        <f t="shared" si="42"/>
        <v>0</v>
      </c>
      <c r="BH49" s="66">
        <f t="shared" si="43"/>
        <v>0</v>
      </c>
      <c r="BI49" s="66">
        <f t="shared" si="44"/>
        <v>0</v>
      </c>
      <c r="BJ49" s="68">
        <f t="shared" si="45"/>
        <v>0</v>
      </c>
      <c r="BK49" s="352">
        <v>1</v>
      </c>
      <c r="BL49" s="352">
        <v>12</v>
      </c>
      <c r="BM49" s="263">
        <v>1</v>
      </c>
      <c r="BN49" s="263">
        <v>12</v>
      </c>
      <c r="BO49" s="69">
        <f t="shared" si="263"/>
        <v>42186</v>
      </c>
      <c r="BP49" s="69">
        <f t="shared" si="264"/>
        <v>42552</v>
      </c>
      <c r="BQ49" s="70">
        <f t="shared" si="213"/>
        <v>6.54E-2</v>
      </c>
      <c r="BR49" s="285">
        <f t="shared" si="214"/>
        <v>0.1391</v>
      </c>
      <c r="BS49" s="68">
        <f t="shared" si="48"/>
        <v>0</v>
      </c>
      <c r="BT49" s="68">
        <f t="shared" si="49"/>
        <v>0</v>
      </c>
      <c r="BU49" s="353"/>
      <c r="BV49" s="71" t="e">
        <f t="shared" si="50"/>
        <v>#DIV/0!</v>
      </c>
      <c r="BW49" s="72"/>
      <c r="BX49" s="73" t="e">
        <f t="shared" si="215"/>
        <v>#DIV/0!</v>
      </c>
      <c r="BY49" s="73" t="e">
        <f t="shared" si="216"/>
        <v>#DIV/0!</v>
      </c>
      <c r="BZ49" s="73" t="e">
        <f t="shared" si="217"/>
        <v>#DIV/0!</v>
      </c>
      <c r="CA49" s="73" t="e">
        <f t="shared" si="218"/>
        <v>#DIV/0!</v>
      </c>
      <c r="CB49" s="73" t="e">
        <f t="shared" si="219"/>
        <v>#DIV/0!</v>
      </c>
      <c r="CD49" s="354"/>
      <c r="CE49" s="354"/>
      <c r="CF49" s="354"/>
      <c r="CG49" s="354"/>
      <c r="CH49" s="354"/>
      <c r="CI49" s="354"/>
      <c r="CJ49" s="354"/>
      <c r="CK49" s="354"/>
      <c r="CL49" s="354"/>
      <c r="CM49" s="354"/>
      <c r="CN49" s="354"/>
      <c r="CO49" s="354"/>
      <c r="CP49" s="354"/>
      <c r="CQ49" s="354"/>
      <c r="CR49" s="354"/>
      <c r="CS49" s="354"/>
      <c r="CT49" s="354"/>
      <c r="CU49" s="354"/>
      <c r="CV49" s="354"/>
      <c r="CW49" s="354"/>
      <c r="CX49" s="354"/>
      <c r="CY49" s="354"/>
      <c r="CZ49" s="354"/>
      <c r="DA49" s="354"/>
      <c r="DB49" s="354"/>
      <c r="DC49" s="354"/>
      <c r="DD49" s="95"/>
      <c r="DE49" s="45"/>
      <c r="DF49" s="76"/>
      <c r="DG49" s="77">
        <f t="shared" si="56"/>
        <v>0</v>
      </c>
      <c r="DH49" s="68">
        <f t="shared" si="57"/>
        <v>0</v>
      </c>
      <c r="DI49" s="78"/>
      <c r="DJ49" s="189"/>
      <c r="DL49" s="146">
        <f t="shared" si="220"/>
        <v>0</v>
      </c>
      <c r="DM49" s="146">
        <f t="shared" si="270"/>
        <v>0</v>
      </c>
      <c r="DN49" s="146">
        <f t="shared" si="221"/>
        <v>0</v>
      </c>
      <c r="DO49" s="146">
        <f t="shared" si="222"/>
        <v>0</v>
      </c>
      <c r="DP49" s="146">
        <f t="shared" si="223"/>
        <v>0</v>
      </c>
      <c r="DQ49" s="146">
        <f t="shared" si="224"/>
        <v>0</v>
      </c>
      <c r="DR49" s="146">
        <f t="shared" si="225"/>
        <v>0</v>
      </c>
      <c r="DS49" s="146">
        <f t="shared" si="226"/>
        <v>0</v>
      </c>
      <c r="DT49" s="146">
        <f t="shared" si="227"/>
        <v>0</v>
      </c>
      <c r="DU49" s="146">
        <f t="shared" si="228"/>
        <v>0</v>
      </c>
      <c r="DV49" s="146">
        <f t="shared" si="229"/>
        <v>0</v>
      </c>
      <c r="DW49" s="181">
        <f t="shared" si="230"/>
        <v>0</v>
      </c>
      <c r="DY49" s="183" t="e">
        <f>$CD49*VLOOKUP($G49,'Рецепты а.б.'!$B$5:$AW$50,DY$67,0)</f>
        <v>#N/A</v>
      </c>
      <c r="DZ49" s="75" t="e">
        <f>$CD49*VLOOKUP($G49,'Рецепты а.б.'!$B$5:$AW$50,DZ$67,0)</f>
        <v>#N/A</v>
      </c>
      <c r="EA49" s="75" t="e">
        <f>$CD49*VLOOKUP($G49,'Рецепты а.б.'!$B$5:$AW$50,EA$67,0)</f>
        <v>#N/A</v>
      </c>
      <c r="EB49" s="75" t="e">
        <f>$CD49*VLOOKUP($G49,'Рецепты а.б.'!$B$5:$AW$50,EB$67,0)</f>
        <v>#N/A</v>
      </c>
      <c r="EC49" s="75" t="e">
        <f>$CD49*VLOOKUP($G49,'Рецепты а.б.'!$B$5:$AW$50,EC$67,0)</f>
        <v>#N/A</v>
      </c>
      <c r="ED49" s="75" t="e">
        <f>$CD49*VLOOKUP($G49,'Рецепты а.б.'!$B$5:$AW$50,ED$67,0)</f>
        <v>#N/A</v>
      </c>
      <c r="EE49" s="75" t="e">
        <f>$CD49*VLOOKUP($G49,'Рецепты а.б.'!$B$5:$AW$50,EE$67,0)</f>
        <v>#N/A</v>
      </c>
      <c r="EF49" s="75" t="e">
        <f>$CF49*VLOOKUP($G49,'Рецепты а.б.'!$B$5:$AW$50,EF$67,0)</f>
        <v>#N/A</v>
      </c>
      <c r="EG49" s="75" t="e">
        <f>$CF49*VLOOKUP($G49,'Рецепты а.б.'!$B$5:$AW$50,EG$67,0)</f>
        <v>#N/A</v>
      </c>
      <c r="EH49" s="75" t="e">
        <f>$CF49*VLOOKUP($G49,'Рецепты а.б.'!$B$5:$AW$50,EH$67,0)</f>
        <v>#N/A</v>
      </c>
      <c r="EI49" s="75" t="e">
        <f>$CF49*VLOOKUP($G49,'Рецепты а.б.'!$B$5:$AW$50,EI$67,0)</f>
        <v>#N/A</v>
      </c>
      <c r="EJ49" s="75" t="e">
        <f>$CF49*VLOOKUP($G49,'Рецепты а.б.'!$B$5:$AW$50,EJ$67,0)</f>
        <v>#N/A</v>
      </c>
      <c r="EK49" s="75" t="e">
        <f>$CF49*VLOOKUP($G49,'Рецепты а.б.'!$B$5:$AW$50,EK$67,0)</f>
        <v>#N/A</v>
      </c>
      <c r="EL49" s="75" t="e">
        <f>$CF49*VLOOKUP($G49,'Рецепты а.б.'!$B$5:$AW$50,EL$67,0)</f>
        <v>#N/A</v>
      </c>
      <c r="EM49" s="75" t="e">
        <f>$CG49*VLOOKUP($G49,'Рецепты а.б.'!$B$5:$AW$50,EM$67,0)</f>
        <v>#N/A</v>
      </c>
      <c r="EN49" s="75" t="e">
        <f>$CG49*VLOOKUP($G49,'Рецепты а.б.'!$B$5:$AW$50,EN$67,0)</f>
        <v>#N/A</v>
      </c>
      <c r="EO49" s="75" t="e">
        <f>$CG49*VLOOKUP($G49,'Рецепты а.б.'!$B$5:$AW$50,EO$67,0)</f>
        <v>#N/A</v>
      </c>
      <c r="EP49" s="75" t="e">
        <f>$CG49*VLOOKUP($G49,'Рецепты а.б.'!$B$5:$AW$50,EP$67,0)</f>
        <v>#N/A</v>
      </c>
      <c r="EQ49" s="75" t="e">
        <f>$CG49*VLOOKUP($G49,'Рецепты а.б.'!$B$5:$AW$50,EQ$67,0)</f>
        <v>#N/A</v>
      </c>
      <c r="ER49" s="75" t="e">
        <f>$CG49*VLOOKUP($G49,'Рецепты а.б.'!$B$5:$AW$50,ER$67,0)</f>
        <v>#N/A</v>
      </c>
      <c r="ES49" s="75" t="e">
        <f>$CG49*VLOOKUP($G49,'Рецепты а.б.'!$B$5:$AW$50,ES$67,0)</f>
        <v>#N/A</v>
      </c>
      <c r="ET49" s="75" t="e">
        <f>$CH49*VLOOKUP($G49,'Рецепты а.б.'!$B$5:$AW$50,ET$67,0)</f>
        <v>#N/A</v>
      </c>
      <c r="EU49" s="75" t="e">
        <f>$CH49*VLOOKUP($G49,'Рецепты а.б.'!$B$5:$AW$50,EU$67,0)</f>
        <v>#N/A</v>
      </c>
      <c r="EV49" s="75" t="e">
        <f>$CH49*VLOOKUP($G49,'Рецепты а.б.'!$B$5:$AW$50,EV$67,0)</f>
        <v>#N/A</v>
      </c>
      <c r="EW49" s="75" t="e">
        <f>$CH49*VLOOKUP($G49,'Рецепты а.б.'!$B$5:$AW$50,EW$67,0)</f>
        <v>#N/A</v>
      </c>
      <c r="EX49" s="75" t="e">
        <f>$CH49*VLOOKUP($G49,'Рецепты а.б.'!$B$5:$AW$50,EX$67,0)</f>
        <v>#N/A</v>
      </c>
      <c r="EY49" s="75" t="e">
        <f>$CI49*VLOOKUP($G49,'Рецепты а.б.'!$B$5:$AW$50,EY$67,0)</f>
        <v>#N/A</v>
      </c>
      <c r="EZ49" s="75" t="e">
        <f>$CI49*VLOOKUP($G49,'Рецепты а.б.'!$B$5:$AW$50,EZ$67,0)</f>
        <v>#N/A</v>
      </c>
      <c r="FA49" s="75" t="e">
        <f>$CI49*VLOOKUP($G49,'Рецепты а.б.'!$B$5:$AW$50,FA$67,0)</f>
        <v>#N/A</v>
      </c>
      <c r="FB49" s="75" t="e">
        <f>$CI49*VLOOKUP($G49,'Рецепты а.б.'!$B$5:$AW$50,FB$67,0)</f>
        <v>#N/A</v>
      </c>
      <c r="FC49" s="75" t="e">
        <f>$CI49*VLOOKUP($G49,'Рецепты а.б.'!$B$5:$AW$50,FC$67,0)</f>
        <v>#N/A</v>
      </c>
      <c r="FD49" s="75" t="e">
        <f>$CI49*VLOOKUP($G49,'Рецепты а.б.'!$B$5:$AW$50,FD$67,0)</f>
        <v>#N/A</v>
      </c>
      <c r="FE49" s="75" t="e">
        <f>$CJ49*VLOOKUP($G49,'Рецепты а.б.'!$B$5:$AW$50,FE$67,0)</f>
        <v>#N/A</v>
      </c>
      <c r="FF49" s="75" t="e">
        <f>$CJ49*VLOOKUP($G49,'Рецепты а.б.'!$B$5:$AW$50,FF$67,0)</f>
        <v>#N/A</v>
      </c>
      <c r="FG49" s="75" t="e">
        <f>$CE49*VLOOKUP($G49,'Рецепты а.б.'!$B$5:$AW$50,FG$67,0)</f>
        <v>#N/A</v>
      </c>
      <c r="FH49" s="75" t="e">
        <f>$CE49*VLOOKUP($G49,'Рецепты а.б.'!$B$5:$AW$50,FH$67,0)</f>
        <v>#N/A</v>
      </c>
      <c r="FI49" s="75" t="e">
        <f>$CE49*VLOOKUP($G49,'Рецепты а.б.'!$B$5:$AW$50,FI$67,0)</f>
        <v>#N/A</v>
      </c>
      <c r="FJ49" s="75" t="e">
        <f>$CE49*VLOOKUP($G49,'Рецепты а.б.'!$B$5:$AW$50,FJ$67,0)</f>
        <v>#N/A</v>
      </c>
      <c r="FK49" s="75" t="e">
        <f>$CE49*VLOOKUP($G49,'Рецепты а.б.'!$B$5:$AW$50,FK$67,0)</f>
        <v>#N/A</v>
      </c>
      <c r="FL49" s="75" t="e">
        <f>$CE49*VLOOKUP($G49,'Рецепты а.б.'!$B$5:$AW$50,FL$67,0)</f>
        <v>#N/A</v>
      </c>
      <c r="FM49" s="75" t="e">
        <f>$CE49*VLOOKUP($G49,'Рецепты а.б.'!$B$5:$AW$50,FM$67,0)</f>
        <v>#N/A</v>
      </c>
      <c r="FN49" s="75" t="e">
        <f>$CE49*VLOOKUP($G49,'Рецепты а.б.'!$B$5:$AW$50,FN$67,0)</f>
        <v>#N/A</v>
      </c>
    </row>
    <row r="50" spans="1:170" s="64" customFormat="1" hidden="1" x14ac:dyDescent="0.2">
      <c r="A50" s="127">
        <f t="shared" ref="A50:A51" si="278">A49+1</f>
        <v>47</v>
      </c>
      <c r="B50" s="344"/>
      <c r="C50" s="344"/>
      <c r="D50" s="344"/>
      <c r="E50" s="420" t="s">
        <v>331</v>
      </c>
      <c r="F50" s="345"/>
      <c r="G50" s="346"/>
      <c r="H50" s="419" t="s">
        <v>206</v>
      </c>
      <c r="I50" s="347"/>
      <c r="J50" s="348"/>
      <c r="K50" s="348"/>
      <c r="L50" s="348"/>
      <c r="M50" s="348"/>
      <c r="N50" s="348"/>
      <c r="O50" s="65">
        <f t="shared" si="4"/>
        <v>0</v>
      </c>
      <c r="P50" s="342">
        <f t="shared" si="5"/>
        <v>0</v>
      </c>
      <c r="Q50" s="342"/>
      <c r="R50" s="342"/>
      <c r="S50" s="342"/>
      <c r="T50" s="65">
        <f t="shared" si="6"/>
        <v>0</v>
      </c>
      <c r="U50" s="66">
        <f t="shared" si="7"/>
        <v>0</v>
      </c>
      <c r="V50" s="66">
        <f t="shared" si="8"/>
        <v>0</v>
      </c>
      <c r="W50" s="349">
        <f t="shared" si="271"/>
        <v>0</v>
      </c>
      <c r="X50" s="350"/>
      <c r="Y50" s="350"/>
      <c r="Z50" s="351"/>
      <c r="AA50" s="66">
        <f t="shared" si="10"/>
        <v>0</v>
      </c>
      <c r="AB50" s="66">
        <f t="shared" si="11"/>
        <v>0</v>
      </c>
      <c r="AC50" s="66">
        <f t="shared" si="12"/>
        <v>0</v>
      </c>
      <c r="AD50" s="66">
        <f t="shared" si="13"/>
        <v>0</v>
      </c>
      <c r="AE50" s="66">
        <f t="shared" si="14"/>
        <v>0</v>
      </c>
      <c r="AF50" s="66">
        <f t="shared" si="208"/>
        <v>0</v>
      </c>
      <c r="AG50" s="66">
        <f t="shared" si="209"/>
        <v>0</v>
      </c>
      <c r="AH50" s="66">
        <f t="shared" si="210"/>
        <v>0</v>
      </c>
      <c r="AI50" s="66">
        <f t="shared" si="211"/>
        <v>0</v>
      </c>
      <c r="AJ50" s="66">
        <f t="shared" si="19"/>
        <v>0</v>
      </c>
      <c r="AK50" s="67">
        <f t="shared" si="275"/>
        <v>0</v>
      </c>
      <c r="AL50" s="67">
        <f t="shared" si="276"/>
        <v>0</v>
      </c>
      <c r="AM50" s="67">
        <f t="shared" si="277"/>
        <v>0</v>
      </c>
      <c r="AN50" s="67">
        <f t="shared" si="212"/>
        <v>0</v>
      </c>
      <c r="AO50" s="66">
        <f t="shared" si="24"/>
        <v>0</v>
      </c>
      <c r="AP50" s="66">
        <f t="shared" si="25"/>
        <v>0</v>
      </c>
      <c r="AQ50" s="66">
        <f t="shared" si="26"/>
        <v>0</v>
      </c>
      <c r="AR50" s="66">
        <f t="shared" si="27"/>
        <v>0</v>
      </c>
      <c r="AS50" s="66">
        <f t="shared" si="28"/>
        <v>0</v>
      </c>
      <c r="AT50" s="66">
        <f t="shared" si="29"/>
        <v>0</v>
      </c>
      <c r="AU50" s="66">
        <f t="shared" si="30"/>
        <v>0</v>
      </c>
      <c r="AV50" s="66">
        <f t="shared" si="31"/>
        <v>0</v>
      </c>
      <c r="AW50" s="66">
        <f t="shared" si="32"/>
        <v>0</v>
      </c>
      <c r="AX50" s="66">
        <f t="shared" si="33"/>
        <v>0</v>
      </c>
      <c r="AY50" s="66">
        <f t="shared" si="34"/>
        <v>0</v>
      </c>
      <c r="AZ50" s="66">
        <f t="shared" si="35"/>
        <v>0</v>
      </c>
      <c r="BA50" s="66">
        <f t="shared" si="36"/>
        <v>0</v>
      </c>
      <c r="BB50" s="66">
        <f t="shared" si="37"/>
        <v>0</v>
      </c>
      <c r="BC50" s="66">
        <f t="shared" si="38"/>
        <v>0</v>
      </c>
      <c r="BD50" s="66">
        <f t="shared" si="39"/>
        <v>0</v>
      </c>
      <c r="BE50" s="66">
        <f t="shared" si="40"/>
        <v>0</v>
      </c>
      <c r="BF50" s="66">
        <f t="shared" si="41"/>
        <v>0</v>
      </c>
      <c r="BG50" s="66">
        <f t="shared" si="42"/>
        <v>0</v>
      </c>
      <c r="BH50" s="66">
        <f t="shared" si="43"/>
        <v>0</v>
      </c>
      <c r="BI50" s="66">
        <f t="shared" si="44"/>
        <v>0</v>
      </c>
      <c r="BJ50" s="68">
        <f t="shared" si="45"/>
        <v>0</v>
      </c>
      <c r="BK50" s="352">
        <v>1</v>
      </c>
      <c r="BL50" s="352">
        <v>12</v>
      </c>
      <c r="BM50" s="263">
        <v>1</v>
      </c>
      <c r="BN50" s="263">
        <v>12</v>
      </c>
      <c r="BO50" s="69">
        <f t="shared" si="263"/>
        <v>42186</v>
      </c>
      <c r="BP50" s="69">
        <f t="shared" si="264"/>
        <v>42552</v>
      </c>
      <c r="BQ50" s="70">
        <f t="shared" si="213"/>
        <v>6.54E-2</v>
      </c>
      <c r="BR50" s="285">
        <f t="shared" si="214"/>
        <v>0.1391</v>
      </c>
      <c r="BS50" s="68">
        <f t="shared" si="48"/>
        <v>0</v>
      </c>
      <c r="BT50" s="68">
        <f t="shared" si="49"/>
        <v>0</v>
      </c>
      <c r="BU50" s="353"/>
      <c r="BV50" s="71" t="e">
        <f t="shared" si="50"/>
        <v>#DIV/0!</v>
      </c>
      <c r="BW50" s="72"/>
      <c r="BX50" s="73" t="e">
        <f t="shared" si="215"/>
        <v>#DIV/0!</v>
      </c>
      <c r="BY50" s="73" t="e">
        <f t="shared" si="216"/>
        <v>#DIV/0!</v>
      </c>
      <c r="BZ50" s="73" t="e">
        <f t="shared" si="217"/>
        <v>#DIV/0!</v>
      </c>
      <c r="CA50" s="73" t="e">
        <f t="shared" si="218"/>
        <v>#DIV/0!</v>
      </c>
      <c r="CB50" s="73" t="e">
        <f t="shared" si="219"/>
        <v>#DIV/0!</v>
      </c>
      <c r="CD50" s="354"/>
      <c r="CE50" s="354"/>
      <c r="CF50" s="354"/>
      <c r="CG50" s="354"/>
      <c r="CH50" s="354"/>
      <c r="CI50" s="354"/>
      <c r="CJ50" s="354"/>
      <c r="CK50" s="354"/>
      <c r="CL50" s="354"/>
      <c r="CM50" s="354"/>
      <c r="CN50" s="354"/>
      <c r="CO50" s="354"/>
      <c r="CP50" s="354"/>
      <c r="CQ50" s="354"/>
      <c r="CR50" s="354"/>
      <c r="CS50" s="354"/>
      <c r="CT50" s="354"/>
      <c r="CU50" s="354"/>
      <c r="CV50" s="354"/>
      <c r="CW50" s="354"/>
      <c r="CX50" s="354"/>
      <c r="CY50" s="354"/>
      <c r="CZ50" s="354"/>
      <c r="DA50" s="354"/>
      <c r="DB50" s="354"/>
      <c r="DC50" s="354"/>
      <c r="DD50" s="95"/>
      <c r="DE50" s="45"/>
      <c r="DF50" s="76"/>
      <c r="DG50" s="77">
        <f t="shared" si="56"/>
        <v>0</v>
      </c>
      <c r="DH50" s="68">
        <f t="shared" si="57"/>
        <v>0</v>
      </c>
      <c r="DI50" s="78"/>
      <c r="DJ50" s="189"/>
      <c r="DL50" s="146">
        <f t="shared" si="220"/>
        <v>0</v>
      </c>
      <c r="DM50" s="146">
        <f t="shared" si="270"/>
        <v>0</v>
      </c>
      <c r="DN50" s="146">
        <f t="shared" si="221"/>
        <v>0</v>
      </c>
      <c r="DO50" s="146">
        <f t="shared" si="222"/>
        <v>0</v>
      </c>
      <c r="DP50" s="146">
        <f t="shared" si="223"/>
        <v>0</v>
      </c>
      <c r="DQ50" s="146">
        <f t="shared" si="224"/>
        <v>0</v>
      </c>
      <c r="DR50" s="146">
        <f t="shared" si="225"/>
        <v>0</v>
      </c>
      <c r="DS50" s="146">
        <f t="shared" si="226"/>
        <v>0</v>
      </c>
      <c r="DT50" s="146">
        <f t="shared" si="227"/>
        <v>0</v>
      </c>
      <c r="DU50" s="146">
        <f t="shared" si="228"/>
        <v>0</v>
      </c>
      <c r="DV50" s="146">
        <f t="shared" si="229"/>
        <v>0</v>
      </c>
      <c r="DW50" s="181">
        <f t="shared" si="230"/>
        <v>0</v>
      </c>
      <c r="DY50" s="183" t="e">
        <f>$CD50*VLOOKUP($G50,'Рецепты а.б.'!$B$5:$AW$50,DY$67,0)</f>
        <v>#N/A</v>
      </c>
      <c r="DZ50" s="75" t="e">
        <f>$CD50*VLOOKUP($G50,'Рецепты а.б.'!$B$5:$AW$50,DZ$67,0)</f>
        <v>#N/A</v>
      </c>
      <c r="EA50" s="75" t="e">
        <f>$CD50*VLOOKUP($G50,'Рецепты а.б.'!$B$5:$AW$50,EA$67,0)</f>
        <v>#N/A</v>
      </c>
      <c r="EB50" s="75" t="e">
        <f>$CD50*VLOOKUP($G50,'Рецепты а.б.'!$B$5:$AW$50,EB$67,0)</f>
        <v>#N/A</v>
      </c>
      <c r="EC50" s="75" t="e">
        <f>$CD50*VLOOKUP($G50,'Рецепты а.б.'!$B$5:$AW$50,EC$67,0)</f>
        <v>#N/A</v>
      </c>
      <c r="ED50" s="75" t="e">
        <f>$CD50*VLOOKUP($G50,'Рецепты а.б.'!$B$5:$AW$50,ED$67,0)</f>
        <v>#N/A</v>
      </c>
      <c r="EE50" s="75" t="e">
        <f>$CD50*VLOOKUP($G50,'Рецепты а.б.'!$B$5:$AW$50,EE$67,0)</f>
        <v>#N/A</v>
      </c>
      <c r="EF50" s="75" t="e">
        <f>$CF50*VLOOKUP($G50,'Рецепты а.б.'!$B$5:$AW$50,EF$67,0)</f>
        <v>#N/A</v>
      </c>
      <c r="EG50" s="75" t="e">
        <f>$CF50*VLOOKUP($G50,'Рецепты а.б.'!$B$5:$AW$50,EG$67,0)</f>
        <v>#N/A</v>
      </c>
      <c r="EH50" s="75" t="e">
        <f>$CF50*VLOOKUP($G50,'Рецепты а.б.'!$B$5:$AW$50,EH$67,0)</f>
        <v>#N/A</v>
      </c>
      <c r="EI50" s="75" t="e">
        <f>$CF50*VLOOKUP($G50,'Рецепты а.б.'!$B$5:$AW$50,EI$67,0)</f>
        <v>#N/A</v>
      </c>
      <c r="EJ50" s="75" t="e">
        <f>$CF50*VLOOKUP($G50,'Рецепты а.б.'!$B$5:$AW$50,EJ$67,0)</f>
        <v>#N/A</v>
      </c>
      <c r="EK50" s="75" t="e">
        <f>$CF50*VLOOKUP($G50,'Рецепты а.б.'!$B$5:$AW$50,EK$67,0)</f>
        <v>#N/A</v>
      </c>
      <c r="EL50" s="75" t="e">
        <f>$CF50*VLOOKUP($G50,'Рецепты а.б.'!$B$5:$AW$50,EL$67,0)</f>
        <v>#N/A</v>
      </c>
      <c r="EM50" s="75" t="e">
        <f>$CG50*VLOOKUP($G50,'Рецепты а.б.'!$B$5:$AW$50,EM$67,0)</f>
        <v>#N/A</v>
      </c>
      <c r="EN50" s="75" t="e">
        <f>$CG50*VLOOKUP($G50,'Рецепты а.б.'!$B$5:$AW$50,EN$67,0)</f>
        <v>#N/A</v>
      </c>
      <c r="EO50" s="75" t="e">
        <f>$CG50*VLOOKUP($G50,'Рецепты а.б.'!$B$5:$AW$50,EO$67,0)</f>
        <v>#N/A</v>
      </c>
      <c r="EP50" s="75" t="e">
        <f>$CG50*VLOOKUP($G50,'Рецепты а.б.'!$B$5:$AW$50,EP$67,0)</f>
        <v>#N/A</v>
      </c>
      <c r="EQ50" s="75" t="e">
        <f>$CG50*VLOOKUP($G50,'Рецепты а.б.'!$B$5:$AW$50,EQ$67,0)</f>
        <v>#N/A</v>
      </c>
      <c r="ER50" s="75" t="e">
        <f>$CG50*VLOOKUP($G50,'Рецепты а.б.'!$B$5:$AW$50,ER$67,0)</f>
        <v>#N/A</v>
      </c>
      <c r="ES50" s="75" t="e">
        <f>$CG50*VLOOKUP($G50,'Рецепты а.б.'!$B$5:$AW$50,ES$67,0)</f>
        <v>#N/A</v>
      </c>
      <c r="ET50" s="75" t="e">
        <f>$CH50*VLOOKUP($G50,'Рецепты а.б.'!$B$5:$AW$50,ET$67,0)</f>
        <v>#N/A</v>
      </c>
      <c r="EU50" s="75" t="e">
        <f>$CH50*VLOOKUP($G50,'Рецепты а.б.'!$B$5:$AW$50,EU$67,0)</f>
        <v>#N/A</v>
      </c>
      <c r="EV50" s="75" t="e">
        <f>$CH50*VLOOKUP($G50,'Рецепты а.б.'!$B$5:$AW$50,EV$67,0)</f>
        <v>#N/A</v>
      </c>
      <c r="EW50" s="75" t="e">
        <f>$CH50*VLOOKUP($G50,'Рецепты а.б.'!$B$5:$AW$50,EW$67,0)</f>
        <v>#N/A</v>
      </c>
      <c r="EX50" s="75" t="e">
        <f>$CH50*VLOOKUP($G50,'Рецепты а.б.'!$B$5:$AW$50,EX$67,0)</f>
        <v>#N/A</v>
      </c>
      <c r="EY50" s="75" t="e">
        <f>$CI50*VLOOKUP($G50,'Рецепты а.б.'!$B$5:$AW$50,EY$67,0)</f>
        <v>#N/A</v>
      </c>
      <c r="EZ50" s="75" t="e">
        <f>$CI50*VLOOKUP($G50,'Рецепты а.б.'!$B$5:$AW$50,EZ$67,0)</f>
        <v>#N/A</v>
      </c>
      <c r="FA50" s="75" t="e">
        <f>$CI50*VLOOKUP($G50,'Рецепты а.б.'!$B$5:$AW$50,FA$67,0)</f>
        <v>#N/A</v>
      </c>
      <c r="FB50" s="75" t="e">
        <f>$CI50*VLOOKUP($G50,'Рецепты а.б.'!$B$5:$AW$50,FB$67,0)</f>
        <v>#N/A</v>
      </c>
      <c r="FC50" s="75" t="e">
        <f>$CI50*VLOOKUP($G50,'Рецепты а.б.'!$B$5:$AW$50,FC$67,0)</f>
        <v>#N/A</v>
      </c>
      <c r="FD50" s="75" t="e">
        <f>$CI50*VLOOKUP($G50,'Рецепты а.б.'!$B$5:$AW$50,FD$67,0)</f>
        <v>#N/A</v>
      </c>
      <c r="FE50" s="75" t="e">
        <f>$CJ50*VLOOKUP($G50,'Рецепты а.б.'!$B$5:$AW$50,FE$67,0)</f>
        <v>#N/A</v>
      </c>
      <c r="FF50" s="75" t="e">
        <f>$CJ50*VLOOKUP($G50,'Рецепты а.б.'!$B$5:$AW$50,FF$67,0)</f>
        <v>#N/A</v>
      </c>
      <c r="FG50" s="75" t="e">
        <f>$CE50*VLOOKUP($G50,'Рецепты а.б.'!$B$5:$AW$50,FG$67,0)</f>
        <v>#N/A</v>
      </c>
      <c r="FH50" s="75" t="e">
        <f>$CE50*VLOOKUP($G50,'Рецепты а.б.'!$B$5:$AW$50,FH$67,0)</f>
        <v>#N/A</v>
      </c>
      <c r="FI50" s="75" t="e">
        <f>$CE50*VLOOKUP($G50,'Рецепты а.б.'!$B$5:$AW$50,FI$67,0)</f>
        <v>#N/A</v>
      </c>
      <c r="FJ50" s="75" t="e">
        <f>$CE50*VLOOKUP($G50,'Рецепты а.б.'!$B$5:$AW$50,FJ$67,0)</f>
        <v>#N/A</v>
      </c>
      <c r="FK50" s="75" t="e">
        <f>$CE50*VLOOKUP($G50,'Рецепты а.б.'!$B$5:$AW$50,FK$67,0)</f>
        <v>#N/A</v>
      </c>
      <c r="FL50" s="75" t="e">
        <f>$CE50*VLOOKUP($G50,'Рецепты а.б.'!$B$5:$AW$50,FL$67,0)</f>
        <v>#N/A</v>
      </c>
      <c r="FM50" s="75" t="e">
        <f>$CE50*VLOOKUP($G50,'Рецепты а.б.'!$B$5:$AW$50,FM$67,0)</f>
        <v>#N/A</v>
      </c>
      <c r="FN50" s="75" t="e">
        <f>$CE50*VLOOKUP($G50,'Рецепты а.б.'!$B$5:$AW$50,FN$67,0)</f>
        <v>#N/A</v>
      </c>
    </row>
    <row r="51" spans="1:170" s="64" customFormat="1" hidden="1" x14ac:dyDescent="0.2">
      <c r="A51" s="127">
        <f t="shared" si="278"/>
        <v>48</v>
      </c>
      <c r="B51" s="344"/>
      <c r="C51" s="344"/>
      <c r="D51" s="344"/>
      <c r="E51" s="420" t="s">
        <v>331</v>
      </c>
      <c r="F51" s="345"/>
      <c r="G51" s="346"/>
      <c r="H51" s="419" t="s">
        <v>206</v>
      </c>
      <c r="I51" s="347"/>
      <c r="J51" s="348"/>
      <c r="K51" s="348"/>
      <c r="L51" s="348"/>
      <c r="M51" s="348"/>
      <c r="N51" s="348"/>
      <c r="O51" s="65">
        <f t="shared" ref="O51:O52" si="279">SUM(J51:N51)</f>
        <v>0</v>
      </c>
      <c r="P51" s="342">
        <f t="shared" si="5"/>
        <v>0</v>
      </c>
      <c r="Q51" s="342"/>
      <c r="R51" s="342"/>
      <c r="S51" s="342"/>
      <c r="T51" s="65">
        <f t="shared" ref="T51:T52" si="280">SUM(P51:S51)</f>
        <v>0</v>
      </c>
      <c r="U51" s="66">
        <f t="shared" si="7"/>
        <v>0</v>
      </c>
      <c r="V51" s="66">
        <f t="shared" si="8"/>
        <v>0</v>
      </c>
      <c r="W51" s="349">
        <f t="shared" si="271"/>
        <v>0</v>
      </c>
      <c r="X51" s="350"/>
      <c r="Y51" s="350"/>
      <c r="Z51" s="351"/>
      <c r="AA51" s="66">
        <f t="shared" si="10"/>
        <v>0</v>
      </c>
      <c r="AB51" s="66">
        <f t="shared" si="11"/>
        <v>0</v>
      </c>
      <c r="AC51" s="66">
        <f t="shared" si="12"/>
        <v>0</v>
      </c>
      <c r="AD51" s="66">
        <f t="shared" si="13"/>
        <v>0</v>
      </c>
      <c r="AE51" s="66">
        <f t="shared" si="14"/>
        <v>0</v>
      </c>
      <c r="AF51" s="66">
        <f t="shared" si="208"/>
        <v>0</v>
      </c>
      <c r="AG51" s="66">
        <f t="shared" si="209"/>
        <v>0</v>
      </c>
      <c r="AH51" s="66">
        <f t="shared" si="210"/>
        <v>0</v>
      </c>
      <c r="AI51" s="66">
        <f t="shared" si="211"/>
        <v>0</v>
      </c>
      <c r="AJ51" s="66">
        <f t="shared" si="19"/>
        <v>0</v>
      </c>
      <c r="AK51" s="67">
        <f t="shared" si="275"/>
        <v>0</v>
      </c>
      <c r="AL51" s="67">
        <f t="shared" si="276"/>
        <v>0</v>
      </c>
      <c r="AM51" s="67">
        <f t="shared" si="277"/>
        <v>0</v>
      </c>
      <c r="AN51" s="67">
        <f t="shared" si="212"/>
        <v>0</v>
      </c>
      <c r="AO51" s="66">
        <f t="shared" ref="AO51:AO52" si="281">SUM(AK51:AN51)</f>
        <v>0</v>
      </c>
      <c r="AP51" s="66">
        <f t="shared" si="25"/>
        <v>0</v>
      </c>
      <c r="AQ51" s="66">
        <f t="shared" si="26"/>
        <v>0</v>
      </c>
      <c r="AR51" s="66">
        <f t="shared" si="27"/>
        <v>0</v>
      </c>
      <c r="AS51" s="66">
        <f t="shared" si="28"/>
        <v>0</v>
      </c>
      <c r="AT51" s="66">
        <f t="shared" si="29"/>
        <v>0</v>
      </c>
      <c r="AU51" s="66">
        <f t="shared" si="30"/>
        <v>0</v>
      </c>
      <c r="AV51" s="66">
        <f t="shared" si="31"/>
        <v>0</v>
      </c>
      <c r="AW51" s="66">
        <f t="shared" si="32"/>
        <v>0</v>
      </c>
      <c r="AX51" s="66">
        <f t="shared" si="33"/>
        <v>0</v>
      </c>
      <c r="AY51" s="66">
        <f t="shared" si="34"/>
        <v>0</v>
      </c>
      <c r="AZ51" s="66">
        <f t="shared" si="35"/>
        <v>0</v>
      </c>
      <c r="BA51" s="66">
        <f t="shared" si="36"/>
        <v>0</v>
      </c>
      <c r="BB51" s="66">
        <f t="shared" si="37"/>
        <v>0</v>
      </c>
      <c r="BC51" s="66">
        <f t="shared" si="38"/>
        <v>0</v>
      </c>
      <c r="BD51" s="66">
        <f t="shared" si="39"/>
        <v>0</v>
      </c>
      <c r="BE51" s="66">
        <f t="shared" si="40"/>
        <v>0</v>
      </c>
      <c r="BF51" s="66">
        <f t="shared" si="41"/>
        <v>0</v>
      </c>
      <c r="BG51" s="66">
        <f t="shared" si="42"/>
        <v>0</v>
      </c>
      <c r="BH51" s="66">
        <f t="shared" si="43"/>
        <v>0</v>
      </c>
      <c r="BI51" s="66">
        <f t="shared" si="44"/>
        <v>0</v>
      </c>
      <c r="BJ51" s="68">
        <f t="shared" si="45"/>
        <v>0</v>
      </c>
      <c r="BK51" s="352">
        <v>1</v>
      </c>
      <c r="BL51" s="352">
        <v>12</v>
      </c>
      <c r="BM51" s="263">
        <v>1</v>
      </c>
      <c r="BN51" s="263">
        <v>12</v>
      </c>
      <c r="BO51" s="69">
        <f t="shared" si="263"/>
        <v>42186</v>
      </c>
      <c r="BP51" s="69">
        <f t="shared" si="264"/>
        <v>42552</v>
      </c>
      <c r="BQ51" s="70">
        <f t="shared" si="213"/>
        <v>6.54E-2</v>
      </c>
      <c r="BR51" s="285">
        <f t="shared" si="214"/>
        <v>0.1391</v>
      </c>
      <c r="BS51" s="68">
        <f t="shared" si="48"/>
        <v>0</v>
      </c>
      <c r="BT51" s="68">
        <f t="shared" si="49"/>
        <v>0</v>
      </c>
      <c r="BU51" s="353"/>
      <c r="BV51" s="71" t="e">
        <f t="shared" si="50"/>
        <v>#DIV/0!</v>
      </c>
      <c r="BW51" s="72"/>
      <c r="BX51" s="73" t="e">
        <f t="shared" si="215"/>
        <v>#DIV/0!</v>
      </c>
      <c r="BY51" s="73" t="e">
        <f t="shared" si="216"/>
        <v>#DIV/0!</v>
      </c>
      <c r="BZ51" s="73" t="e">
        <f t="shared" si="217"/>
        <v>#DIV/0!</v>
      </c>
      <c r="CA51" s="73" t="e">
        <f t="shared" si="218"/>
        <v>#DIV/0!</v>
      </c>
      <c r="CB51" s="73" t="e">
        <f t="shared" si="219"/>
        <v>#DIV/0!</v>
      </c>
      <c r="CD51" s="354"/>
      <c r="CE51" s="354"/>
      <c r="CF51" s="354"/>
      <c r="CG51" s="354"/>
      <c r="CH51" s="354"/>
      <c r="CI51" s="354"/>
      <c r="CJ51" s="354"/>
      <c r="CK51" s="354"/>
      <c r="CL51" s="354"/>
      <c r="CM51" s="354"/>
      <c r="CN51" s="354"/>
      <c r="CO51" s="354"/>
      <c r="CP51" s="354"/>
      <c r="CQ51" s="354"/>
      <c r="CR51" s="354"/>
      <c r="CS51" s="354"/>
      <c r="CT51" s="354"/>
      <c r="CU51" s="354"/>
      <c r="CV51" s="354"/>
      <c r="CW51" s="354"/>
      <c r="CX51" s="354"/>
      <c r="CY51" s="354"/>
      <c r="CZ51" s="354"/>
      <c r="DA51" s="354"/>
      <c r="DB51" s="354"/>
      <c r="DC51" s="354"/>
      <c r="DD51" s="95"/>
      <c r="DE51" s="45"/>
      <c r="DF51" s="76"/>
      <c r="DG51" s="77">
        <f t="shared" si="56"/>
        <v>0</v>
      </c>
      <c r="DH51" s="68">
        <f t="shared" si="57"/>
        <v>0</v>
      </c>
      <c r="DI51" s="78"/>
      <c r="DJ51" s="189"/>
      <c r="DL51" s="146">
        <f t="shared" si="220"/>
        <v>0</v>
      </c>
      <c r="DM51" s="146">
        <f t="shared" si="270"/>
        <v>0</v>
      </c>
      <c r="DN51" s="146">
        <f t="shared" si="221"/>
        <v>0</v>
      </c>
      <c r="DO51" s="146">
        <f t="shared" si="222"/>
        <v>0</v>
      </c>
      <c r="DP51" s="146">
        <f t="shared" si="223"/>
        <v>0</v>
      </c>
      <c r="DQ51" s="146">
        <f t="shared" si="224"/>
        <v>0</v>
      </c>
      <c r="DR51" s="146">
        <f t="shared" si="225"/>
        <v>0</v>
      </c>
      <c r="DS51" s="146">
        <f t="shared" si="226"/>
        <v>0</v>
      </c>
      <c r="DT51" s="146">
        <f t="shared" si="227"/>
        <v>0</v>
      </c>
      <c r="DU51" s="146">
        <f t="shared" si="228"/>
        <v>0</v>
      </c>
      <c r="DV51" s="146">
        <f t="shared" si="229"/>
        <v>0</v>
      </c>
      <c r="DW51" s="181">
        <f t="shared" si="230"/>
        <v>0</v>
      </c>
      <c r="DY51" s="183" t="e">
        <f>$CD51*VLOOKUP($G51,'Рецепты а.б.'!$B$5:$AW$50,DY$67,0)</f>
        <v>#N/A</v>
      </c>
      <c r="DZ51" s="75" t="e">
        <f>$CD51*VLOOKUP($G51,'Рецепты а.б.'!$B$5:$AW$50,DZ$67,0)</f>
        <v>#N/A</v>
      </c>
      <c r="EA51" s="75" t="e">
        <f>$CD51*VLOOKUP($G51,'Рецепты а.б.'!$B$5:$AW$50,EA$67,0)</f>
        <v>#N/A</v>
      </c>
      <c r="EB51" s="75" t="e">
        <f>$CD51*VLOOKUP($G51,'Рецепты а.б.'!$B$5:$AW$50,EB$67,0)</f>
        <v>#N/A</v>
      </c>
      <c r="EC51" s="75" t="e">
        <f>$CD51*VLOOKUP($G51,'Рецепты а.б.'!$B$5:$AW$50,EC$67,0)</f>
        <v>#N/A</v>
      </c>
      <c r="ED51" s="75" t="e">
        <f>$CD51*VLOOKUP($G51,'Рецепты а.б.'!$B$5:$AW$50,ED$67,0)</f>
        <v>#N/A</v>
      </c>
      <c r="EE51" s="75" t="e">
        <f>$CD51*VLOOKUP($G51,'Рецепты а.б.'!$B$5:$AW$50,EE$67,0)</f>
        <v>#N/A</v>
      </c>
      <c r="EF51" s="75" t="e">
        <f>$CF51*VLOOKUP($G51,'Рецепты а.б.'!$B$5:$AW$50,EF$67,0)</f>
        <v>#N/A</v>
      </c>
      <c r="EG51" s="75" t="e">
        <f>$CF51*VLOOKUP($G51,'Рецепты а.б.'!$B$5:$AW$50,EG$67,0)</f>
        <v>#N/A</v>
      </c>
      <c r="EH51" s="75" t="e">
        <f>$CF51*VLOOKUP($G51,'Рецепты а.б.'!$B$5:$AW$50,EH$67,0)</f>
        <v>#N/A</v>
      </c>
      <c r="EI51" s="75" t="e">
        <f>$CF51*VLOOKUP($G51,'Рецепты а.б.'!$B$5:$AW$50,EI$67,0)</f>
        <v>#N/A</v>
      </c>
      <c r="EJ51" s="75" t="e">
        <f>$CF51*VLOOKUP($G51,'Рецепты а.б.'!$B$5:$AW$50,EJ$67,0)</f>
        <v>#N/A</v>
      </c>
      <c r="EK51" s="75" t="e">
        <f>$CF51*VLOOKUP($G51,'Рецепты а.б.'!$B$5:$AW$50,EK$67,0)</f>
        <v>#N/A</v>
      </c>
      <c r="EL51" s="75" t="e">
        <f>$CF51*VLOOKUP($G51,'Рецепты а.б.'!$B$5:$AW$50,EL$67,0)</f>
        <v>#N/A</v>
      </c>
      <c r="EM51" s="75" t="e">
        <f>$CG51*VLOOKUP($G51,'Рецепты а.б.'!$B$5:$AW$50,EM$67,0)</f>
        <v>#N/A</v>
      </c>
      <c r="EN51" s="75" t="e">
        <f>$CG51*VLOOKUP($G51,'Рецепты а.б.'!$B$5:$AW$50,EN$67,0)</f>
        <v>#N/A</v>
      </c>
      <c r="EO51" s="75" t="e">
        <f>$CG51*VLOOKUP($G51,'Рецепты а.б.'!$B$5:$AW$50,EO$67,0)</f>
        <v>#N/A</v>
      </c>
      <c r="EP51" s="75" t="e">
        <f>$CG51*VLOOKUP($G51,'Рецепты а.б.'!$B$5:$AW$50,EP$67,0)</f>
        <v>#N/A</v>
      </c>
      <c r="EQ51" s="75" t="e">
        <f>$CG51*VLOOKUP($G51,'Рецепты а.б.'!$B$5:$AW$50,EQ$67,0)</f>
        <v>#N/A</v>
      </c>
      <c r="ER51" s="75" t="e">
        <f>$CG51*VLOOKUP($G51,'Рецепты а.б.'!$B$5:$AW$50,ER$67,0)</f>
        <v>#N/A</v>
      </c>
      <c r="ES51" s="75" t="e">
        <f>$CG51*VLOOKUP($G51,'Рецепты а.б.'!$B$5:$AW$50,ES$67,0)</f>
        <v>#N/A</v>
      </c>
      <c r="ET51" s="75" t="e">
        <f>$CH51*VLOOKUP($G51,'Рецепты а.б.'!$B$5:$AW$50,ET$67,0)</f>
        <v>#N/A</v>
      </c>
      <c r="EU51" s="75" t="e">
        <f>$CH51*VLOOKUP($G51,'Рецепты а.б.'!$B$5:$AW$50,EU$67,0)</f>
        <v>#N/A</v>
      </c>
      <c r="EV51" s="75" t="e">
        <f>$CH51*VLOOKUP($G51,'Рецепты а.б.'!$B$5:$AW$50,EV$67,0)</f>
        <v>#N/A</v>
      </c>
      <c r="EW51" s="75" t="e">
        <f>$CH51*VLOOKUP($G51,'Рецепты а.б.'!$B$5:$AW$50,EW$67,0)</f>
        <v>#N/A</v>
      </c>
      <c r="EX51" s="75" t="e">
        <f>$CH51*VLOOKUP($G51,'Рецепты а.б.'!$B$5:$AW$50,EX$67,0)</f>
        <v>#N/A</v>
      </c>
      <c r="EY51" s="75" t="e">
        <f>$CI51*VLOOKUP($G51,'Рецепты а.б.'!$B$5:$AW$50,EY$67,0)</f>
        <v>#N/A</v>
      </c>
      <c r="EZ51" s="75" t="e">
        <f>$CI51*VLOOKUP($G51,'Рецепты а.б.'!$B$5:$AW$50,EZ$67,0)</f>
        <v>#N/A</v>
      </c>
      <c r="FA51" s="75" t="e">
        <f>$CI51*VLOOKUP($G51,'Рецепты а.б.'!$B$5:$AW$50,FA$67,0)</f>
        <v>#N/A</v>
      </c>
      <c r="FB51" s="75" t="e">
        <f>$CI51*VLOOKUP($G51,'Рецепты а.б.'!$B$5:$AW$50,FB$67,0)</f>
        <v>#N/A</v>
      </c>
      <c r="FC51" s="75" t="e">
        <f>$CI51*VLOOKUP($G51,'Рецепты а.б.'!$B$5:$AW$50,FC$67,0)</f>
        <v>#N/A</v>
      </c>
      <c r="FD51" s="75" t="e">
        <f>$CI51*VLOOKUP($G51,'Рецепты а.б.'!$B$5:$AW$50,FD$67,0)</f>
        <v>#N/A</v>
      </c>
      <c r="FE51" s="75" t="e">
        <f>$CJ51*VLOOKUP($G51,'Рецепты а.б.'!$B$5:$AW$50,FE$67,0)</f>
        <v>#N/A</v>
      </c>
      <c r="FF51" s="75" t="e">
        <f>$CJ51*VLOOKUP($G51,'Рецепты а.б.'!$B$5:$AW$50,FF$67,0)</f>
        <v>#N/A</v>
      </c>
      <c r="FG51" s="75" t="e">
        <f>$CE51*VLOOKUP($G51,'Рецепты а.б.'!$B$5:$AW$50,FG$67,0)</f>
        <v>#N/A</v>
      </c>
      <c r="FH51" s="75" t="e">
        <f>$CE51*VLOOKUP($G51,'Рецепты а.б.'!$B$5:$AW$50,FH$67,0)</f>
        <v>#N/A</v>
      </c>
      <c r="FI51" s="75" t="e">
        <f>$CE51*VLOOKUP($G51,'Рецепты а.б.'!$B$5:$AW$50,FI$67,0)</f>
        <v>#N/A</v>
      </c>
      <c r="FJ51" s="75" t="e">
        <f>$CE51*VLOOKUP($G51,'Рецепты а.б.'!$B$5:$AW$50,FJ$67,0)</f>
        <v>#N/A</v>
      </c>
      <c r="FK51" s="75" t="e">
        <f>$CE51*VLOOKUP($G51,'Рецепты а.б.'!$B$5:$AW$50,FK$67,0)</f>
        <v>#N/A</v>
      </c>
      <c r="FL51" s="75" t="e">
        <f>$CE51*VLOOKUP($G51,'Рецепты а.б.'!$B$5:$AW$50,FL$67,0)</f>
        <v>#N/A</v>
      </c>
      <c r="FM51" s="75" t="e">
        <f>$CE51*VLOOKUP($G51,'Рецепты а.б.'!$B$5:$AW$50,FM$67,0)</f>
        <v>#N/A</v>
      </c>
      <c r="FN51" s="75" t="e">
        <f>$CE51*VLOOKUP($G51,'Рецепты а.б.'!$B$5:$AW$50,FN$67,0)</f>
        <v>#N/A</v>
      </c>
    </row>
    <row r="52" spans="1:170" s="64" customFormat="1" ht="18" hidden="1" customHeight="1" x14ac:dyDescent="0.2">
      <c r="A52" s="127">
        <f t="shared" ref="A52" si="282">A51+1</f>
        <v>49</v>
      </c>
      <c r="B52" s="344"/>
      <c r="C52" s="344"/>
      <c r="D52" s="344"/>
      <c r="E52" s="420" t="s">
        <v>331</v>
      </c>
      <c r="F52" s="345"/>
      <c r="G52" s="346"/>
      <c r="H52" s="419" t="s">
        <v>206</v>
      </c>
      <c r="I52" s="343"/>
      <c r="J52" s="342"/>
      <c r="K52" s="342"/>
      <c r="L52" s="342"/>
      <c r="M52" s="342"/>
      <c r="N52" s="342"/>
      <c r="O52" s="65">
        <f t="shared" si="279"/>
        <v>0</v>
      </c>
      <c r="P52" s="342">
        <f t="shared" si="5"/>
        <v>0</v>
      </c>
      <c r="Q52" s="342"/>
      <c r="R52" s="342"/>
      <c r="S52" s="342"/>
      <c r="T52" s="65">
        <f t="shared" si="280"/>
        <v>0</v>
      </c>
      <c r="U52" s="66">
        <f t="shared" si="7"/>
        <v>0</v>
      </c>
      <c r="V52" s="66">
        <f t="shared" si="8"/>
        <v>0</v>
      </c>
      <c r="W52" s="349">
        <f t="shared" si="271"/>
        <v>0</v>
      </c>
      <c r="X52" s="350"/>
      <c r="Y52" s="350"/>
      <c r="Z52" s="351"/>
      <c r="AA52" s="66">
        <f t="shared" si="10"/>
        <v>0</v>
      </c>
      <c r="AB52" s="66">
        <f t="shared" si="11"/>
        <v>0</v>
      </c>
      <c r="AC52" s="66">
        <f t="shared" si="12"/>
        <v>0</v>
      </c>
      <c r="AD52" s="66">
        <f t="shared" si="13"/>
        <v>0</v>
      </c>
      <c r="AE52" s="66">
        <f t="shared" si="14"/>
        <v>0</v>
      </c>
      <c r="AF52" s="66">
        <f t="shared" si="208"/>
        <v>0</v>
      </c>
      <c r="AG52" s="66">
        <f t="shared" si="209"/>
        <v>0</v>
      </c>
      <c r="AH52" s="66">
        <f t="shared" si="210"/>
        <v>0</v>
      </c>
      <c r="AI52" s="66">
        <f t="shared" si="211"/>
        <v>0</v>
      </c>
      <c r="AJ52" s="66">
        <f t="shared" ref="AJ52" si="283">SUM(AF52:AI52)</f>
        <v>0</v>
      </c>
      <c r="AK52" s="67">
        <f t="shared" si="275"/>
        <v>0</v>
      </c>
      <c r="AL52" s="67">
        <f t="shared" si="276"/>
        <v>0</v>
      </c>
      <c r="AM52" s="67">
        <f t="shared" si="277"/>
        <v>0</v>
      </c>
      <c r="AN52" s="67">
        <f t="shared" si="212"/>
        <v>0</v>
      </c>
      <c r="AO52" s="66">
        <f t="shared" si="281"/>
        <v>0</v>
      </c>
      <c r="AP52" s="66">
        <f t="shared" si="25"/>
        <v>0</v>
      </c>
      <c r="AQ52" s="66">
        <f t="shared" si="26"/>
        <v>0</v>
      </c>
      <c r="AR52" s="66">
        <f t="shared" si="27"/>
        <v>0</v>
      </c>
      <c r="AS52" s="66">
        <f t="shared" si="28"/>
        <v>0</v>
      </c>
      <c r="AT52" s="66">
        <f t="shared" si="29"/>
        <v>0</v>
      </c>
      <c r="AU52" s="66">
        <f t="shared" ref="AU52" si="284">ROUND(18%*SUM(AK52,AP52),0)</f>
        <v>0</v>
      </c>
      <c r="AV52" s="66">
        <f t="shared" ref="AV52" si="285">ROUND(18%*SUM(AL52,AQ52),0)</f>
        <v>0</v>
      </c>
      <c r="AW52" s="66">
        <f t="shared" ref="AW52" si="286">ROUND(18%*SUM(AM52,AR52),0)</f>
        <v>0</v>
      </c>
      <c r="AX52" s="66">
        <f t="shared" ref="AX52" si="287">ROUND(18%*SUM(AN52,AS52),0)</f>
        <v>0</v>
      </c>
      <c r="AY52" s="66">
        <f t="shared" ref="AY52" si="288">SUM(AU52:AX52)</f>
        <v>0</v>
      </c>
      <c r="AZ52" s="66">
        <f t="shared" si="35"/>
        <v>0</v>
      </c>
      <c r="BA52" s="66">
        <f t="shared" si="36"/>
        <v>0</v>
      </c>
      <c r="BB52" s="66">
        <f t="shared" si="37"/>
        <v>0</v>
      </c>
      <c r="BC52" s="66">
        <f t="shared" si="38"/>
        <v>0</v>
      </c>
      <c r="BD52" s="66">
        <f t="shared" si="39"/>
        <v>0</v>
      </c>
      <c r="BE52" s="66">
        <f t="shared" ref="BE52" si="289">ROUND(18%*(AF52-AK52+AZ52),0)</f>
        <v>0</v>
      </c>
      <c r="BF52" s="66">
        <f t="shared" ref="BF52" si="290">ROUND(18%*(AG52-AL52+BA52),0)</f>
        <v>0</v>
      </c>
      <c r="BG52" s="66">
        <f t="shared" ref="BG52" si="291">ROUND(18%*(AH52-AM52+BB52),0)</f>
        <v>0</v>
      </c>
      <c r="BH52" s="66">
        <f t="shared" ref="BH52" si="292">ROUND(18%*(AI52-AN52+BC52),0)</f>
        <v>0</v>
      </c>
      <c r="BI52" s="66">
        <f t="shared" ref="BI52" si="293">SUM(BE52:BH52)</f>
        <v>0</v>
      </c>
      <c r="BJ52" s="68">
        <f t="shared" ref="BJ52" si="294">SUM(AJ52,AT52,AY52,BD52,BI52)</f>
        <v>0</v>
      </c>
      <c r="BK52" s="352">
        <v>1</v>
      </c>
      <c r="BL52" s="352">
        <v>12</v>
      </c>
      <c r="BM52" s="263">
        <v>1</v>
      </c>
      <c r="BN52" s="263">
        <v>12</v>
      </c>
      <c r="BO52" s="69">
        <f t="shared" si="263"/>
        <v>42186</v>
      </c>
      <c r="BP52" s="69">
        <f t="shared" si="264"/>
        <v>42552</v>
      </c>
      <c r="BQ52" s="70">
        <f t="shared" si="213"/>
        <v>6.54E-2</v>
      </c>
      <c r="BR52" s="285">
        <f t="shared" si="214"/>
        <v>0.1391</v>
      </c>
      <c r="BS52" s="68">
        <f t="shared" si="48"/>
        <v>0</v>
      </c>
      <c r="BT52" s="68">
        <f t="shared" si="49"/>
        <v>0</v>
      </c>
      <c r="BU52" s="353"/>
      <c r="BV52" s="71" t="e">
        <f t="shared" si="50"/>
        <v>#DIV/0!</v>
      </c>
      <c r="BW52" s="72"/>
      <c r="BX52" s="73" t="e">
        <f t="shared" si="215"/>
        <v>#DIV/0!</v>
      </c>
      <c r="BY52" s="73" t="e">
        <f t="shared" si="216"/>
        <v>#DIV/0!</v>
      </c>
      <c r="BZ52" s="73" t="e">
        <f t="shared" si="217"/>
        <v>#DIV/0!</v>
      </c>
      <c r="CA52" s="73" t="e">
        <f t="shared" si="218"/>
        <v>#DIV/0!</v>
      </c>
      <c r="CB52" s="73" t="e">
        <f t="shared" si="219"/>
        <v>#DIV/0!</v>
      </c>
      <c r="CD52" s="354"/>
      <c r="CE52" s="354"/>
      <c r="CF52" s="354"/>
      <c r="CG52" s="354"/>
      <c r="CH52" s="354"/>
      <c r="CI52" s="354"/>
      <c r="CJ52" s="354"/>
      <c r="CK52" s="354"/>
      <c r="CL52" s="354"/>
      <c r="CM52" s="354"/>
      <c r="CN52" s="354"/>
      <c r="CO52" s="354"/>
      <c r="CP52" s="354"/>
      <c r="CQ52" s="354"/>
      <c r="CR52" s="354"/>
      <c r="CS52" s="354"/>
      <c r="CT52" s="354"/>
      <c r="CU52" s="354"/>
      <c r="CV52" s="354"/>
      <c r="CW52" s="354"/>
      <c r="CX52" s="354"/>
      <c r="CY52" s="354"/>
      <c r="CZ52" s="354"/>
      <c r="DA52" s="354"/>
      <c r="DB52" s="354"/>
      <c r="DC52" s="354"/>
      <c r="DD52" s="95"/>
      <c r="DE52" s="45"/>
      <c r="DF52" s="76"/>
      <c r="DG52" s="77">
        <f t="shared" si="56"/>
        <v>0</v>
      </c>
      <c r="DH52" s="68">
        <f t="shared" si="57"/>
        <v>0</v>
      </c>
      <c r="DI52" s="78"/>
      <c r="DJ52" s="189"/>
      <c r="DL52" s="146">
        <f t="shared" si="220"/>
        <v>0</v>
      </c>
      <c r="DM52" s="146">
        <f t="shared" si="270"/>
        <v>0</v>
      </c>
      <c r="DN52" s="146">
        <f t="shared" si="221"/>
        <v>0</v>
      </c>
      <c r="DO52" s="146">
        <f t="shared" si="222"/>
        <v>0</v>
      </c>
      <c r="DP52" s="146">
        <f t="shared" si="223"/>
        <v>0</v>
      </c>
      <c r="DQ52" s="146">
        <f t="shared" si="224"/>
        <v>0</v>
      </c>
      <c r="DR52" s="146">
        <f t="shared" si="225"/>
        <v>0</v>
      </c>
      <c r="DS52" s="146">
        <f t="shared" si="226"/>
        <v>0</v>
      </c>
      <c r="DT52" s="146">
        <f t="shared" si="227"/>
        <v>0</v>
      </c>
      <c r="DU52" s="146">
        <f t="shared" si="228"/>
        <v>0</v>
      </c>
      <c r="DV52" s="146">
        <f t="shared" si="229"/>
        <v>0</v>
      </c>
      <c r="DW52" s="181">
        <f t="shared" si="230"/>
        <v>0</v>
      </c>
      <c r="DY52" s="183" t="e">
        <f>$CD52*VLOOKUP($G52,'Рецепты а.б.'!$B$5:$AW$50,DY$67,0)</f>
        <v>#N/A</v>
      </c>
      <c r="DZ52" s="75" t="e">
        <f>$CD52*VLOOKUP($G52,'Рецепты а.б.'!$B$5:$AW$50,DZ$67,0)</f>
        <v>#N/A</v>
      </c>
      <c r="EA52" s="75" t="e">
        <f>$CD52*VLOOKUP($G52,'Рецепты а.б.'!$B$5:$AW$50,EA$67,0)</f>
        <v>#N/A</v>
      </c>
      <c r="EB52" s="75" t="e">
        <f>$CD52*VLOOKUP($G52,'Рецепты а.б.'!$B$5:$AW$50,EB$67,0)</f>
        <v>#N/A</v>
      </c>
      <c r="EC52" s="75" t="e">
        <f>$CD52*VLOOKUP($G52,'Рецепты а.б.'!$B$5:$AW$50,EC$67,0)</f>
        <v>#N/A</v>
      </c>
      <c r="ED52" s="75" t="e">
        <f>$CD52*VLOOKUP($G52,'Рецепты а.б.'!$B$5:$AW$50,ED$67,0)</f>
        <v>#N/A</v>
      </c>
      <c r="EE52" s="75" t="e">
        <f>$CD52*VLOOKUP($G52,'Рецепты а.б.'!$B$5:$AW$50,EE$67,0)</f>
        <v>#N/A</v>
      </c>
      <c r="EF52" s="75" t="e">
        <f>$CF52*VLOOKUP($G52,'Рецепты а.б.'!$B$5:$AW$50,EF$67,0)</f>
        <v>#N/A</v>
      </c>
      <c r="EG52" s="75" t="e">
        <f>$CF52*VLOOKUP($G52,'Рецепты а.б.'!$B$5:$AW$50,EG$67,0)</f>
        <v>#N/A</v>
      </c>
      <c r="EH52" s="75" t="e">
        <f>$CF52*VLOOKUP($G52,'Рецепты а.б.'!$B$5:$AW$50,EH$67,0)</f>
        <v>#N/A</v>
      </c>
      <c r="EI52" s="75" t="e">
        <f>$CF52*VLOOKUP($G52,'Рецепты а.б.'!$B$5:$AW$50,EI$67,0)</f>
        <v>#N/A</v>
      </c>
      <c r="EJ52" s="75" t="e">
        <f>$CF52*VLOOKUP($G52,'Рецепты а.б.'!$B$5:$AW$50,EJ$67,0)</f>
        <v>#N/A</v>
      </c>
      <c r="EK52" s="75" t="e">
        <f>$CF52*VLOOKUP($G52,'Рецепты а.б.'!$B$5:$AW$50,EK$67,0)</f>
        <v>#N/A</v>
      </c>
      <c r="EL52" s="75" t="e">
        <f>$CF52*VLOOKUP($G52,'Рецепты а.б.'!$B$5:$AW$50,EL$67,0)</f>
        <v>#N/A</v>
      </c>
      <c r="EM52" s="75" t="e">
        <f>$CG52*VLOOKUP($G52,'Рецепты а.б.'!$B$5:$AW$50,EM$67,0)</f>
        <v>#N/A</v>
      </c>
      <c r="EN52" s="75" t="e">
        <f>$CG52*VLOOKUP($G52,'Рецепты а.б.'!$B$5:$AW$50,EN$67,0)</f>
        <v>#N/A</v>
      </c>
      <c r="EO52" s="75" t="e">
        <f>$CG52*VLOOKUP($G52,'Рецепты а.б.'!$B$5:$AW$50,EO$67,0)</f>
        <v>#N/A</v>
      </c>
      <c r="EP52" s="75" t="e">
        <f>$CG52*VLOOKUP($G52,'Рецепты а.б.'!$B$5:$AW$50,EP$67,0)</f>
        <v>#N/A</v>
      </c>
      <c r="EQ52" s="75" t="e">
        <f>$CG52*VLOOKUP($G52,'Рецепты а.б.'!$B$5:$AW$50,EQ$67,0)</f>
        <v>#N/A</v>
      </c>
      <c r="ER52" s="75" t="e">
        <f>$CG52*VLOOKUP($G52,'Рецепты а.б.'!$B$5:$AW$50,ER$67,0)</f>
        <v>#N/A</v>
      </c>
      <c r="ES52" s="75" t="e">
        <f>$CG52*VLOOKUP($G52,'Рецепты а.б.'!$B$5:$AW$50,ES$67,0)</f>
        <v>#N/A</v>
      </c>
      <c r="ET52" s="75" t="e">
        <f>$CH52*VLOOKUP($G52,'Рецепты а.б.'!$B$5:$AW$50,ET$67,0)</f>
        <v>#N/A</v>
      </c>
      <c r="EU52" s="75" t="e">
        <f>$CH52*VLOOKUP($G52,'Рецепты а.б.'!$B$5:$AW$50,EU$67,0)</f>
        <v>#N/A</v>
      </c>
      <c r="EV52" s="75" t="e">
        <f>$CH52*VLOOKUP($G52,'Рецепты а.б.'!$B$5:$AW$50,EV$67,0)</f>
        <v>#N/A</v>
      </c>
      <c r="EW52" s="75" t="e">
        <f>$CH52*VLOOKUP($G52,'Рецепты а.б.'!$B$5:$AW$50,EW$67,0)</f>
        <v>#N/A</v>
      </c>
      <c r="EX52" s="75" t="e">
        <f>$CH52*VLOOKUP($G52,'Рецепты а.б.'!$B$5:$AW$50,EX$67,0)</f>
        <v>#N/A</v>
      </c>
      <c r="EY52" s="75" t="e">
        <f>$CI52*VLOOKUP($G52,'Рецепты а.б.'!$B$5:$AW$50,EY$67,0)</f>
        <v>#N/A</v>
      </c>
      <c r="EZ52" s="75" t="e">
        <f>$CI52*VLOOKUP($G52,'Рецепты а.б.'!$B$5:$AW$50,EZ$67,0)</f>
        <v>#N/A</v>
      </c>
      <c r="FA52" s="75" t="e">
        <f>$CI52*VLOOKUP($G52,'Рецепты а.б.'!$B$5:$AW$50,FA$67,0)</f>
        <v>#N/A</v>
      </c>
      <c r="FB52" s="75" t="e">
        <f>$CI52*VLOOKUP($G52,'Рецепты а.б.'!$B$5:$AW$50,FB$67,0)</f>
        <v>#N/A</v>
      </c>
      <c r="FC52" s="75" t="e">
        <f>$CI52*VLOOKUP($G52,'Рецепты а.б.'!$B$5:$AW$50,FC$67,0)</f>
        <v>#N/A</v>
      </c>
      <c r="FD52" s="75" t="e">
        <f>$CI52*VLOOKUP($G52,'Рецепты а.б.'!$B$5:$AW$50,FD$67,0)</f>
        <v>#N/A</v>
      </c>
      <c r="FE52" s="75" t="e">
        <f>$CJ52*VLOOKUP($G52,'Рецепты а.б.'!$B$5:$AW$50,FE$67,0)</f>
        <v>#N/A</v>
      </c>
      <c r="FF52" s="75" t="e">
        <f>$CJ52*VLOOKUP($G52,'Рецепты а.б.'!$B$5:$AW$50,FF$67,0)</f>
        <v>#N/A</v>
      </c>
      <c r="FG52" s="75" t="e">
        <f>$CE52*VLOOKUP($G52,'Рецепты а.б.'!$B$5:$AW$50,FG$67,0)</f>
        <v>#N/A</v>
      </c>
      <c r="FH52" s="75" t="e">
        <f>$CE52*VLOOKUP($G52,'Рецепты а.б.'!$B$5:$AW$50,FH$67,0)</f>
        <v>#N/A</v>
      </c>
      <c r="FI52" s="75" t="e">
        <f>$CE52*VLOOKUP($G52,'Рецепты а.б.'!$B$5:$AW$50,FI$67,0)</f>
        <v>#N/A</v>
      </c>
      <c r="FJ52" s="75" t="e">
        <f>$CE52*VLOOKUP($G52,'Рецепты а.б.'!$B$5:$AW$50,FJ$67,0)</f>
        <v>#N/A</v>
      </c>
      <c r="FK52" s="75" t="e">
        <f>$CE52*VLOOKUP($G52,'Рецепты а.б.'!$B$5:$AW$50,FK$67,0)</f>
        <v>#N/A</v>
      </c>
      <c r="FL52" s="75" t="e">
        <f>$CE52*VLOOKUP($G52,'Рецепты а.б.'!$B$5:$AW$50,FL$67,0)</f>
        <v>#N/A</v>
      </c>
      <c r="FM52" s="75" t="e">
        <f>$CE52*VLOOKUP($G52,'Рецепты а.б.'!$B$5:$AW$50,FM$67,0)</f>
        <v>#N/A</v>
      </c>
      <c r="FN52" s="75" t="e">
        <f>$CE52*VLOOKUP($G52,'Рецепты а.б.'!$B$5:$AW$50,FN$67,0)</f>
        <v>#N/A</v>
      </c>
    </row>
    <row r="53" spans="1:170" s="64" customFormat="1" ht="78.75" x14ac:dyDescent="0.2">
      <c r="A53" s="127">
        <f t="shared" ref="A53" si="295">A52+1</f>
        <v>50</v>
      </c>
      <c r="B53" s="344"/>
      <c r="C53" s="344"/>
      <c r="D53" s="344"/>
      <c r="E53" s="420" t="s">
        <v>331</v>
      </c>
      <c r="F53" s="345"/>
      <c r="G53" s="346"/>
      <c r="H53" s="419" t="s">
        <v>206</v>
      </c>
      <c r="I53" s="343" t="s">
        <v>360</v>
      </c>
      <c r="J53" s="342"/>
      <c r="K53" s="342"/>
      <c r="L53" s="342"/>
      <c r="M53" s="342"/>
      <c r="N53" s="342"/>
      <c r="O53" s="65">
        <f>SUM(J53:N53)</f>
        <v>0</v>
      </c>
      <c r="P53" s="342"/>
      <c r="Q53" s="342"/>
      <c r="R53" s="342"/>
      <c r="S53" s="342"/>
      <c r="T53" s="65">
        <f>SUM(P53:S53)</f>
        <v>0</v>
      </c>
      <c r="U53" s="66">
        <f t="shared" si="7"/>
        <v>0</v>
      </c>
      <c r="V53" s="66">
        <f t="shared" si="8"/>
        <v>0</v>
      </c>
      <c r="W53" s="349">
        <f t="shared" si="271"/>
        <v>0</v>
      </c>
      <c r="X53" s="350"/>
      <c r="Y53" s="350"/>
      <c r="Z53" s="351"/>
      <c r="AA53" s="66">
        <f t="shared" si="10"/>
        <v>0</v>
      </c>
      <c r="AB53" s="66">
        <f t="shared" si="11"/>
        <v>0</v>
      </c>
      <c r="AC53" s="66">
        <f t="shared" si="12"/>
        <v>0</v>
      </c>
      <c r="AD53" s="66">
        <f t="shared" si="13"/>
        <v>0</v>
      </c>
      <c r="AE53" s="66">
        <f t="shared" si="14"/>
        <v>0</v>
      </c>
      <c r="AF53" s="66">
        <f t="shared" si="208"/>
        <v>0</v>
      </c>
      <c r="AG53" s="66">
        <f t="shared" si="209"/>
        <v>0</v>
      </c>
      <c r="AH53" s="66">
        <f t="shared" si="210"/>
        <v>0</v>
      </c>
      <c r="AI53" s="66">
        <f t="shared" si="211"/>
        <v>0</v>
      </c>
      <c r="AJ53" s="66">
        <f t="shared" ref="AJ53" si="296">SUM(AF53:AI53)</f>
        <v>0</v>
      </c>
      <c r="AK53" s="67">
        <f t="shared" si="275"/>
        <v>0</v>
      </c>
      <c r="AL53" s="67">
        <f t="shared" si="276"/>
        <v>0</v>
      </c>
      <c r="AM53" s="67">
        <f t="shared" si="277"/>
        <v>0</v>
      </c>
      <c r="AN53" s="67">
        <f t="shared" si="212"/>
        <v>0</v>
      </c>
      <c r="AO53" s="66">
        <f t="shared" ref="AO53" si="297">SUM(AK53:AN53)</f>
        <v>0</v>
      </c>
      <c r="AP53" s="66">
        <f t="shared" ref="AP53" si="298">ROUND($BQ53*AK53,0)</f>
        <v>0</v>
      </c>
      <c r="AQ53" s="66">
        <f t="shared" ref="AQ53" si="299">ROUND($BQ53*AL53,0)</f>
        <v>0</v>
      </c>
      <c r="AR53" s="66">
        <f t="shared" ref="AR53" si="300">ROUND($BQ53*AM53,0)</f>
        <v>0</v>
      </c>
      <c r="AS53" s="66">
        <f t="shared" ref="AS53" si="301">ROUND($BQ53*AN53,0)</f>
        <v>0</v>
      </c>
      <c r="AT53" s="66">
        <f t="shared" ref="AT53" si="302">SUM(AP53:AS53)</f>
        <v>0</v>
      </c>
      <c r="AU53" s="66">
        <f t="shared" ref="AU53" si="303">ROUND(18%*SUM(AK53,AP53),0)</f>
        <v>0</v>
      </c>
      <c r="AV53" s="66">
        <f t="shared" ref="AV53" si="304">ROUND(18%*SUM(AL53,AQ53),0)</f>
        <v>0</v>
      </c>
      <c r="AW53" s="66">
        <f t="shared" ref="AW53" si="305">ROUND(18%*SUM(AM53,AR53),0)</f>
        <v>0</v>
      </c>
      <c r="AX53" s="66">
        <f t="shared" ref="AX53" si="306">ROUND(18%*SUM(AN53,AS53),0)</f>
        <v>0</v>
      </c>
      <c r="AY53" s="66">
        <f t="shared" ref="AY53" si="307">SUM(AU53:AX53)</f>
        <v>0</v>
      </c>
      <c r="AZ53" s="66">
        <f t="shared" ref="AZ53" si="308">ROUND($BR53*(AF53-AK53),0)</f>
        <v>0</v>
      </c>
      <c r="BA53" s="66">
        <f t="shared" ref="BA53" si="309">ROUND($BR53*(AG53-AL53),0)</f>
        <v>0</v>
      </c>
      <c r="BB53" s="66">
        <f t="shared" ref="BB53" si="310">ROUND($BR53*(AH53-AM53),0)</f>
        <v>0</v>
      </c>
      <c r="BC53" s="66">
        <f t="shared" ref="BC53" si="311">ROUND($BR53*(AI53-AN53),0)</f>
        <v>0</v>
      </c>
      <c r="BD53" s="66">
        <f t="shared" ref="BD53" si="312">SUM(AZ53:BC53)</f>
        <v>0</v>
      </c>
      <c r="BE53" s="66">
        <f t="shared" ref="BE53" si="313">ROUND(18%*(AF53-AK53+AZ53),0)</f>
        <v>0</v>
      </c>
      <c r="BF53" s="66">
        <f t="shared" ref="BF53" si="314">ROUND(18%*(AG53-AL53+BA53),0)</f>
        <v>0</v>
      </c>
      <c r="BG53" s="66">
        <f t="shared" ref="BG53" si="315">ROUND(18%*(AH53-AM53+BB53),0)</f>
        <v>0</v>
      </c>
      <c r="BH53" s="66">
        <f t="shared" ref="BH53" si="316">ROUND(18%*(AI53-AN53+BC53),0)</f>
        <v>0</v>
      </c>
      <c r="BI53" s="66">
        <f t="shared" ref="BI53" si="317">SUM(BE53:BH53)</f>
        <v>0</v>
      </c>
      <c r="BJ53" s="68">
        <f t="shared" ref="BJ53" si="318">SUM(AJ53,AT53,AY53,BD53,BI53)</f>
        <v>0</v>
      </c>
      <c r="BK53" s="352">
        <v>1</v>
      </c>
      <c r="BL53" s="352">
        <v>12</v>
      </c>
      <c r="BM53" s="263">
        <v>1</v>
      </c>
      <c r="BN53" s="263">
        <v>12</v>
      </c>
      <c r="BO53" s="69">
        <f t="shared" si="263"/>
        <v>42186</v>
      </c>
      <c r="BP53" s="69">
        <f t="shared" si="264"/>
        <v>42552</v>
      </c>
      <c r="BQ53" s="70">
        <f t="shared" si="213"/>
        <v>6.54E-2</v>
      </c>
      <c r="BR53" s="285">
        <f t="shared" si="214"/>
        <v>0.1391</v>
      </c>
      <c r="BS53" s="68">
        <f t="shared" ref="BS53" si="319">AO53+AT53+AY53</f>
        <v>0</v>
      </c>
      <c r="BT53" s="68">
        <f t="shared" ref="BT53" si="320">AJ53-AO53+BD53+BI53</f>
        <v>0</v>
      </c>
      <c r="BU53" s="353"/>
      <c r="BV53" s="71" t="e">
        <f t="shared" si="50"/>
        <v>#DIV/0!</v>
      </c>
      <c r="BW53" s="72"/>
      <c r="BX53" s="73" t="e">
        <f t="shared" si="215"/>
        <v>#DIV/0!</v>
      </c>
      <c r="BY53" s="73" t="e">
        <f t="shared" si="216"/>
        <v>#DIV/0!</v>
      </c>
      <c r="BZ53" s="73" t="e">
        <f t="shared" si="217"/>
        <v>#DIV/0!</v>
      </c>
      <c r="CA53" s="73" t="e">
        <f t="shared" si="218"/>
        <v>#DIV/0!</v>
      </c>
      <c r="CB53" s="73" t="e">
        <f t="shared" si="219"/>
        <v>#DIV/0!</v>
      </c>
      <c r="CD53" s="354"/>
      <c r="CE53" s="354"/>
      <c r="CF53" s="354"/>
      <c r="CG53" s="354"/>
      <c r="CH53" s="354"/>
      <c r="CI53" s="354"/>
      <c r="CJ53" s="354"/>
      <c r="CK53" s="354"/>
      <c r="CL53" s="354"/>
      <c r="CM53" s="354"/>
      <c r="CN53" s="354"/>
      <c r="CO53" s="354"/>
      <c r="CP53" s="354"/>
      <c r="CQ53" s="354"/>
      <c r="CR53" s="354"/>
      <c r="CS53" s="354"/>
      <c r="CT53" s="354"/>
      <c r="CU53" s="354"/>
      <c r="CV53" s="354"/>
      <c r="CW53" s="354"/>
      <c r="CX53" s="354"/>
      <c r="CY53" s="354"/>
      <c r="CZ53" s="354"/>
      <c r="DA53" s="354"/>
      <c r="DB53" s="354"/>
      <c r="DC53" s="354"/>
      <c r="DD53" s="95"/>
      <c r="DE53" s="45"/>
      <c r="DF53" s="76"/>
      <c r="DG53" s="77">
        <f t="shared" si="56"/>
        <v>0</v>
      </c>
      <c r="DH53" s="68">
        <f t="shared" si="57"/>
        <v>0</v>
      </c>
      <c r="DI53" s="78"/>
      <c r="DJ53" s="189"/>
      <c r="DL53" s="146">
        <f t="shared" si="220"/>
        <v>0</v>
      </c>
      <c r="DM53" s="146">
        <f t="shared" si="270"/>
        <v>0</v>
      </c>
      <c r="DN53" s="146">
        <f t="shared" si="221"/>
        <v>0</v>
      </c>
      <c r="DO53" s="146">
        <f t="shared" si="222"/>
        <v>0</v>
      </c>
      <c r="DP53" s="146">
        <f t="shared" si="223"/>
        <v>0</v>
      </c>
      <c r="DQ53" s="146">
        <f t="shared" si="224"/>
        <v>0</v>
      </c>
      <c r="DR53" s="146">
        <f t="shared" si="225"/>
        <v>0</v>
      </c>
      <c r="DS53" s="146">
        <f t="shared" si="226"/>
        <v>0</v>
      </c>
      <c r="DT53" s="146">
        <f t="shared" si="227"/>
        <v>0</v>
      </c>
      <c r="DU53" s="146">
        <f t="shared" si="228"/>
        <v>0</v>
      </c>
      <c r="DV53" s="146">
        <f t="shared" si="229"/>
        <v>0</v>
      </c>
      <c r="DW53" s="181">
        <f t="shared" si="230"/>
        <v>0</v>
      </c>
      <c r="DY53" s="183" t="e">
        <f>$CD53*VLOOKUP($G53,'Рецепты а.б.'!$B$5:$AW$50,DY$67,0)</f>
        <v>#N/A</v>
      </c>
      <c r="DZ53" s="75" t="e">
        <f>$CD53*VLOOKUP($G53,'Рецепты а.б.'!$B$5:$AW$50,DZ$67,0)</f>
        <v>#N/A</v>
      </c>
      <c r="EA53" s="75" t="e">
        <f>$CD53*VLOOKUP($G53,'Рецепты а.б.'!$B$5:$AW$50,EA$67,0)</f>
        <v>#N/A</v>
      </c>
      <c r="EB53" s="75" t="e">
        <f>$CD53*VLOOKUP($G53,'Рецепты а.б.'!$B$5:$AW$50,EB$67,0)</f>
        <v>#N/A</v>
      </c>
      <c r="EC53" s="75" t="e">
        <f>$CD53*VLOOKUP($G53,'Рецепты а.б.'!$B$5:$AW$50,EC$67,0)</f>
        <v>#N/A</v>
      </c>
      <c r="ED53" s="75" t="e">
        <f>$CD53*VLOOKUP($G53,'Рецепты а.б.'!$B$5:$AW$50,ED$67,0)</f>
        <v>#N/A</v>
      </c>
      <c r="EE53" s="75" t="e">
        <f>$CD53*VLOOKUP($G53,'Рецепты а.б.'!$B$5:$AW$50,EE$67,0)</f>
        <v>#N/A</v>
      </c>
      <c r="EF53" s="75" t="e">
        <f>$CF53*VLOOKUP($G53,'Рецепты а.б.'!$B$5:$AW$50,EF$67,0)</f>
        <v>#N/A</v>
      </c>
      <c r="EG53" s="75" t="e">
        <f>$CF53*VLOOKUP($G53,'Рецепты а.б.'!$B$5:$AW$50,EG$67,0)</f>
        <v>#N/A</v>
      </c>
      <c r="EH53" s="75" t="e">
        <f>$CF53*VLOOKUP($G53,'Рецепты а.б.'!$B$5:$AW$50,EH$67,0)</f>
        <v>#N/A</v>
      </c>
      <c r="EI53" s="75" t="e">
        <f>$CF53*VLOOKUP($G53,'Рецепты а.б.'!$B$5:$AW$50,EI$67,0)</f>
        <v>#N/A</v>
      </c>
      <c r="EJ53" s="75" t="e">
        <f>$CF53*VLOOKUP($G53,'Рецепты а.б.'!$B$5:$AW$50,EJ$67,0)</f>
        <v>#N/A</v>
      </c>
      <c r="EK53" s="75" t="e">
        <f>$CF53*VLOOKUP($G53,'Рецепты а.б.'!$B$5:$AW$50,EK$67,0)</f>
        <v>#N/A</v>
      </c>
      <c r="EL53" s="75" t="e">
        <f>$CF53*VLOOKUP($G53,'Рецепты а.б.'!$B$5:$AW$50,EL$67,0)</f>
        <v>#N/A</v>
      </c>
      <c r="EM53" s="75" t="e">
        <f>$CG53*VLOOKUP($G53,'Рецепты а.б.'!$B$5:$AW$50,EM$67,0)</f>
        <v>#N/A</v>
      </c>
      <c r="EN53" s="75" t="e">
        <f>$CG53*VLOOKUP($G53,'Рецепты а.б.'!$B$5:$AW$50,EN$67,0)</f>
        <v>#N/A</v>
      </c>
      <c r="EO53" s="75" t="e">
        <f>$CG53*VLOOKUP($G53,'Рецепты а.б.'!$B$5:$AW$50,EO$67,0)</f>
        <v>#N/A</v>
      </c>
      <c r="EP53" s="75" t="e">
        <f>$CG53*VLOOKUP($G53,'Рецепты а.б.'!$B$5:$AW$50,EP$67,0)</f>
        <v>#N/A</v>
      </c>
      <c r="EQ53" s="75" t="e">
        <f>$CG53*VLOOKUP($G53,'Рецепты а.б.'!$B$5:$AW$50,EQ$67,0)</f>
        <v>#N/A</v>
      </c>
      <c r="ER53" s="75" t="e">
        <f>$CG53*VLOOKUP($G53,'Рецепты а.б.'!$B$5:$AW$50,ER$67,0)</f>
        <v>#N/A</v>
      </c>
      <c r="ES53" s="75" t="e">
        <f>$CG53*VLOOKUP($G53,'Рецепты а.б.'!$B$5:$AW$50,ES$67,0)</f>
        <v>#N/A</v>
      </c>
      <c r="ET53" s="75" t="e">
        <f>$CH53*VLOOKUP($G53,'Рецепты а.б.'!$B$5:$AW$50,ET$67,0)</f>
        <v>#N/A</v>
      </c>
      <c r="EU53" s="75" t="e">
        <f>$CH53*VLOOKUP($G53,'Рецепты а.б.'!$B$5:$AW$50,EU$67,0)</f>
        <v>#N/A</v>
      </c>
      <c r="EV53" s="75" t="e">
        <f>$CH53*VLOOKUP($G53,'Рецепты а.б.'!$B$5:$AW$50,EV$67,0)</f>
        <v>#N/A</v>
      </c>
      <c r="EW53" s="75" t="e">
        <f>$CH53*VLOOKUP($G53,'Рецепты а.б.'!$B$5:$AW$50,EW$67,0)</f>
        <v>#N/A</v>
      </c>
      <c r="EX53" s="75" t="e">
        <f>$CH53*VLOOKUP($G53,'Рецепты а.б.'!$B$5:$AW$50,EX$67,0)</f>
        <v>#N/A</v>
      </c>
      <c r="EY53" s="75" t="e">
        <f>$CI53*VLOOKUP($G53,'Рецепты а.б.'!$B$5:$AW$50,EY$67,0)</f>
        <v>#N/A</v>
      </c>
      <c r="EZ53" s="75" t="e">
        <f>$CI53*VLOOKUP($G53,'Рецепты а.б.'!$B$5:$AW$50,EZ$67,0)</f>
        <v>#N/A</v>
      </c>
      <c r="FA53" s="75" t="e">
        <f>$CI53*VLOOKUP($G53,'Рецепты а.б.'!$B$5:$AW$50,FA$67,0)</f>
        <v>#N/A</v>
      </c>
      <c r="FB53" s="75" t="e">
        <f>$CI53*VLOOKUP($G53,'Рецепты а.б.'!$B$5:$AW$50,FB$67,0)</f>
        <v>#N/A</v>
      </c>
      <c r="FC53" s="75" t="e">
        <f>$CI53*VLOOKUP($G53,'Рецепты а.б.'!$B$5:$AW$50,FC$67,0)</f>
        <v>#N/A</v>
      </c>
      <c r="FD53" s="75" t="e">
        <f>$CI53*VLOOKUP($G53,'Рецепты а.б.'!$B$5:$AW$50,FD$67,0)</f>
        <v>#N/A</v>
      </c>
      <c r="FE53" s="75" t="e">
        <f>$CJ53*VLOOKUP($G53,'Рецепты а.б.'!$B$5:$AW$50,FE$67,0)</f>
        <v>#N/A</v>
      </c>
      <c r="FF53" s="75" t="e">
        <f>$CJ53*VLOOKUP($G53,'Рецепты а.б.'!$B$5:$AW$50,FF$67,0)</f>
        <v>#N/A</v>
      </c>
      <c r="FG53" s="75" t="e">
        <f>$CE53*VLOOKUP($G53,'Рецепты а.б.'!$B$5:$AW$50,FG$67,0)</f>
        <v>#N/A</v>
      </c>
      <c r="FH53" s="75" t="e">
        <f>$CE53*VLOOKUP($G53,'Рецепты а.б.'!$B$5:$AW$50,FH$67,0)</f>
        <v>#N/A</v>
      </c>
      <c r="FI53" s="75" t="e">
        <f>$CE53*VLOOKUP($G53,'Рецепты а.б.'!$B$5:$AW$50,FI$67,0)</f>
        <v>#N/A</v>
      </c>
      <c r="FJ53" s="75" t="e">
        <f>$CE53*VLOOKUP($G53,'Рецепты а.б.'!$B$5:$AW$50,FJ$67,0)</f>
        <v>#N/A</v>
      </c>
      <c r="FK53" s="75" t="e">
        <f>$CE53*VLOOKUP($G53,'Рецепты а.б.'!$B$5:$AW$50,FK$67,0)</f>
        <v>#N/A</v>
      </c>
      <c r="FL53" s="75" t="e">
        <f>$CE53*VLOOKUP($G53,'Рецепты а.б.'!$B$5:$AW$50,FL$67,0)</f>
        <v>#N/A</v>
      </c>
      <c r="FM53" s="75" t="e">
        <f>$CE53*VLOOKUP($G53,'Рецепты а.б.'!$B$5:$AW$50,FM$67,0)</f>
        <v>#N/A</v>
      </c>
      <c r="FN53" s="75" t="e">
        <f>$CE53*VLOOKUP($G53,'Рецепты а.б.'!$B$5:$AW$50,FN$67,0)</f>
        <v>#N/A</v>
      </c>
    </row>
    <row r="54" spans="1:170" s="338" customFormat="1" hidden="1" x14ac:dyDescent="0.2">
      <c r="A54" s="331"/>
      <c r="B54" s="80"/>
      <c r="C54" s="80"/>
      <c r="D54" s="80"/>
      <c r="E54" s="332"/>
      <c r="F54" s="81"/>
      <c r="G54" s="325"/>
      <c r="H54" s="326"/>
      <c r="I54" s="83"/>
      <c r="J54" s="84"/>
      <c r="K54" s="84"/>
      <c r="L54" s="84"/>
      <c r="M54" s="84"/>
      <c r="N54" s="84"/>
      <c r="O54" s="327"/>
      <c r="P54" s="84"/>
      <c r="Q54" s="84"/>
      <c r="R54" s="84"/>
      <c r="S54" s="84"/>
      <c r="T54" s="327"/>
      <c r="U54" s="84"/>
      <c r="V54" s="84"/>
      <c r="W54" s="84"/>
      <c r="X54" s="333"/>
      <c r="Y54" s="333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4"/>
      <c r="AR54" s="84"/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7"/>
      <c r="BK54" s="334"/>
      <c r="BL54" s="334"/>
      <c r="BM54" s="334"/>
      <c r="BN54" s="334"/>
      <c r="BO54" s="89"/>
      <c r="BP54" s="89"/>
      <c r="BQ54" s="90"/>
      <c r="BR54" s="328"/>
      <c r="BS54" s="87"/>
      <c r="BT54" s="87"/>
      <c r="BU54" s="335"/>
      <c r="BV54" s="336"/>
      <c r="BW54" s="337"/>
      <c r="BX54" s="94"/>
      <c r="BY54" s="94"/>
      <c r="BZ54" s="94"/>
      <c r="CA54" s="94"/>
      <c r="CB54" s="94"/>
      <c r="CD54" s="95"/>
      <c r="CE54" s="95"/>
      <c r="CF54" s="95"/>
      <c r="CG54" s="95"/>
      <c r="CH54" s="95"/>
      <c r="CI54" s="95"/>
      <c r="CJ54" s="95"/>
      <c r="CK54" s="95"/>
      <c r="CL54" s="95"/>
      <c r="CM54" s="95"/>
      <c r="CN54" s="95"/>
      <c r="CO54" s="95"/>
      <c r="CP54" s="95"/>
      <c r="CQ54" s="95"/>
      <c r="CR54" s="95"/>
      <c r="CS54" s="95"/>
      <c r="CT54" s="95"/>
      <c r="CU54" s="95"/>
      <c r="CV54" s="95"/>
      <c r="CW54" s="95"/>
      <c r="CX54" s="95"/>
      <c r="CY54" s="95"/>
      <c r="CZ54" s="95"/>
      <c r="DA54" s="95"/>
      <c r="DB54" s="95"/>
      <c r="DC54" s="95"/>
      <c r="DD54" s="95"/>
      <c r="DE54" s="38"/>
      <c r="DF54" s="99"/>
      <c r="DG54" s="329"/>
      <c r="DH54" s="87"/>
      <c r="DI54" s="87"/>
      <c r="DJ54" s="339"/>
      <c r="DL54" s="95"/>
      <c r="DM54" s="95"/>
      <c r="DN54" s="95"/>
      <c r="DO54" s="95"/>
      <c r="DP54" s="95"/>
      <c r="DQ54" s="95"/>
      <c r="DR54" s="95"/>
      <c r="DS54" s="95"/>
      <c r="DT54" s="95"/>
      <c r="DU54" s="95"/>
      <c r="DV54" s="95"/>
      <c r="DW54" s="95"/>
      <c r="DY54" s="330"/>
      <c r="DZ54" s="330"/>
      <c r="EA54" s="330"/>
      <c r="EB54" s="330"/>
      <c r="EC54" s="330"/>
      <c r="ED54" s="330"/>
      <c r="EE54" s="330"/>
      <c r="EF54" s="330"/>
      <c r="EG54" s="330"/>
      <c r="EH54" s="330"/>
      <c r="EI54" s="330"/>
      <c r="EJ54" s="330"/>
      <c r="EK54" s="330"/>
      <c r="EL54" s="330"/>
      <c r="EM54" s="330"/>
      <c r="EN54" s="330"/>
      <c r="EO54" s="330"/>
      <c r="EP54" s="330"/>
      <c r="EQ54" s="330"/>
      <c r="ER54" s="330"/>
      <c r="ES54" s="330"/>
      <c r="ET54" s="330"/>
      <c r="EU54" s="330"/>
      <c r="EV54" s="330"/>
      <c r="EW54" s="330"/>
      <c r="EX54" s="330"/>
      <c r="EY54" s="330"/>
      <c r="EZ54" s="330"/>
      <c r="FA54" s="330"/>
      <c r="FB54" s="330"/>
      <c r="FC54" s="330"/>
      <c r="FD54" s="330"/>
      <c r="FE54" s="330"/>
      <c r="FF54" s="330"/>
      <c r="FG54" s="330"/>
      <c r="FH54" s="330"/>
      <c r="FI54" s="330"/>
      <c r="FJ54" s="330"/>
      <c r="FK54" s="330"/>
      <c r="FL54" s="330"/>
      <c r="FM54" s="330"/>
      <c r="FN54" s="330"/>
    </row>
    <row r="55" spans="1:170" s="64" customFormat="1" ht="22.5" x14ac:dyDescent="0.2">
      <c r="A55" s="79"/>
      <c r="B55" s="80"/>
      <c r="C55" s="80"/>
      <c r="D55" s="80"/>
      <c r="E55" s="80"/>
      <c r="F55" s="81"/>
      <c r="G55" s="82"/>
      <c r="H55" s="152"/>
      <c r="I55" s="343" t="s">
        <v>361</v>
      </c>
      <c r="J55" s="84"/>
      <c r="K55" s="147"/>
      <c r="L55" s="147"/>
      <c r="M55" s="147"/>
      <c r="N55" s="147"/>
      <c r="O55" s="148"/>
      <c r="P55" s="148"/>
      <c r="Q55" s="148"/>
      <c r="R55" s="147"/>
      <c r="S55" s="147"/>
      <c r="T55" s="147"/>
      <c r="U55" s="147"/>
      <c r="V55" s="147"/>
      <c r="W55" s="95"/>
      <c r="X55" s="95"/>
      <c r="Y55" s="95"/>
      <c r="Z55" s="95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7"/>
      <c r="BK55" s="264"/>
      <c r="BL55" s="264"/>
      <c r="BM55" s="264"/>
      <c r="BN55" s="264"/>
      <c r="BO55" s="89"/>
      <c r="BP55" s="89"/>
      <c r="BQ55" s="90"/>
      <c r="BR55" s="90"/>
      <c r="BS55" s="87"/>
      <c r="BT55" s="87"/>
      <c r="BU55" s="91"/>
      <c r="BV55" s="92"/>
      <c r="BW55" s="93"/>
      <c r="BX55" s="94"/>
      <c r="BY55" s="94"/>
      <c r="BZ55" s="94"/>
      <c r="CA55" s="94"/>
      <c r="CB55" s="94"/>
      <c r="CD55" s="95"/>
      <c r="CE55" s="95"/>
      <c r="CF55" s="95"/>
      <c r="CG55" s="95"/>
      <c r="CH55" s="95"/>
      <c r="CI55" s="95"/>
      <c r="CJ55" s="95"/>
      <c r="CK55" s="95"/>
      <c r="CL55" s="95"/>
      <c r="CM55" s="149"/>
      <c r="CN55" s="149"/>
      <c r="CO55" s="149"/>
      <c r="CP55" s="149"/>
      <c r="CQ55" s="149"/>
      <c r="CR55" s="149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50"/>
      <c r="DE55" s="149"/>
      <c r="DF55" s="87"/>
      <c r="DG55" s="87"/>
      <c r="DH55" s="87"/>
      <c r="DI55" s="149"/>
      <c r="DL55" s="149"/>
      <c r="DM55" s="149"/>
      <c r="DN55" s="149"/>
      <c r="DO55" s="149"/>
      <c r="DP55" s="149"/>
      <c r="DQ55" s="149"/>
      <c r="DR55" s="149"/>
      <c r="DS55" s="149"/>
      <c r="DT55" s="149"/>
      <c r="DU55" s="149"/>
      <c r="DV55" s="149"/>
      <c r="DW55" s="149"/>
      <c r="DY55" s="95"/>
      <c r="DZ55" s="95"/>
      <c r="EA55" s="95"/>
      <c r="EB55" s="95"/>
      <c r="EC55" s="95"/>
      <c r="ED55" s="95"/>
      <c r="EE55" s="95"/>
      <c r="EF55" s="95"/>
      <c r="EG55" s="95"/>
      <c r="EH55" s="95"/>
      <c r="EI55" s="95"/>
      <c r="EJ55" s="95"/>
      <c r="EK55" s="95"/>
      <c r="EL55" s="95"/>
      <c r="EM55" s="95"/>
      <c r="EN55" s="95"/>
      <c r="EO55" s="95"/>
      <c r="EP55" s="95"/>
      <c r="EQ55" s="95"/>
      <c r="ER55" s="95"/>
      <c r="ES55" s="95"/>
      <c r="ET55" s="95"/>
      <c r="EU55" s="95"/>
      <c r="EV55" s="95"/>
      <c r="EW55" s="95"/>
      <c r="EX55" s="95"/>
      <c r="EY55" s="95"/>
      <c r="EZ55" s="95"/>
      <c r="FA55" s="95"/>
      <c r="FB55" s="95"/>
      <c r="FC55" s="95"/>
      <c r="FD55" s="95"/>
      <c r="FE55" s="95"/>
      <c r="FF55" s="95"/>
      <c r="FG55" s="95"/>
      <c r="FH55" s="95"/>
      <c r="FI55" s="95"/>
      <c r="FJ55" s="95"/>
      <c r="FK55" s="95"/>
      <c r="FL55" s="95"/>
      <c r="FM55" s="95"/>
      <c r="FN55" s="95"/>
    </row>
    <row r="56" spans="1:170" s="64" customFormat="1" x14ac:dyDescent="0.2">
      <c r="A56" s="79"/>
      <c r="B56" s="80"/>
      <c r="C56" s="80"/>
      <c r="D56" s="80"/>
      <c r="E56" s="80"/>
      <c r="F56" s="81"/>
      <c r="G56" s="82"/>
      <c r="H56" s="152"/>
      <c r="I56" s="343" t="s">
        <v>362</v>
      </c>
      <c r="J56" s="84"/>
      <c r="K56" s="147"/>
      <c r="L56" s="147"/>
      <c r="M56" s="147"/>
      <c r="N56" s="147"/>
      <c r="O56" s="148"/>
      <c r="P56" s="148"/>
      <c r="Q56" s="148"/>
      <c r="R56" s="147"/>
      <c r="S56" s="147"/>
      <c r="T56" s="147"/>
      <c r="U56" s="147"/>
      <c r="V56" s="147"/>
      <c r="W56" s="95"/>
      <c r="X56" s="95"/>
      <c r="Y56" s="95"/>
      <c r="Z56" s="95"/>
      <c r="AA56" s="84"/>
      <c r="AB56" s="84"/>
      <c r="AC56" s="84"/>
      <c r="AD56" s="84"/>
      <c r="AE56" s="84"/>
      <c r="AF56" s="148"/>
      <c r="AG56" s="148"/>
      <c r="AH56" s="148"/>
      <c r="AI56" s="148"/>
      <c r="AJ56" s="148"/>
      <c r="AK56" s="148"/>
      <c r="AL56" s="148"/>
      <c r="AM56" s="148"/>
      <c r="AN56" s="148"/>
      <c r="AO56" s="148"/>
      <c r="AP56" s="148"/>
      <c r="AQ56" s="148"/>
      <c r="AR56" s="148"/>
      <c r="AS56" s="148"/>
      <c r="AT56" s="84"/>
      <c r="AU56" s="84"/>
      <c r="AV56" s="84"/>
      <c r="AW56" s="84"/>
      <c r="AX56" s="84"/>
      <c r="AY56" s="84"/>
      <c r="AZ56" s="148"/>
      <c r="BA56" s="148"/>
      <c r="BB56" s="148"/>
      <c r="BC56" s="148"/>
      <c r="BD56" s="84"/>
      <c r="BE56" s="84"/>
      <c r="BF56" s="84"/>
      <c r="BG56" s="84"/>
      <c r="BH56" s="84"/>
      <c r="BI56" s="84"/>
      <c r="BJ56" s="87"/>
      <c r="BK56" s="264"/>
      <c r="BL56" s="264"/>
      <c r="BM56" s="264"/>
      <c r="BN56" s="264"/>
      <c r="BO56" s="89"/>
      <c r="BP56" s="89"/>
      <c r="BQ56" s="90"/>
      <c r="BR56" s="90"/>
      <c r="BS56" s="87"/>
      <c r="BT56" s="87"/>
      <c r="BU56" s="91"/>
      <c r="BV56" s="92"/>
      <c r="BW56" s="93"/>
      <c r="BX56" s="94"/>
      <c r="BY56" s="94"/>
      <c r="BZ56" s="94"/>
      <c r="CA56" s="94"/>
      <c r="CB56" s="94"/>
      <c r="CD56" s="95"/>
      <c r="CE56" s="95"/>
      <c r="CF56" s="95"/>
      <c r="CG56" s="95"/>
      <c r="CH56" s="95"/>
      <c r="CI56" s="95"/>
      <c r="CJ56" s="95"/>
      <c r="CK56" s="95"/>
      <c r="CL56" s="95"/>
      <c r="CM56" s="149"/>
      <c r="CN56" s="149"/>
      <c r="CO56" s="149"/>
      <c r="CP56" s="149"/>
      <c r="CQ56" s="149"/>
      <c r="CR56" s="149"/>
      <c r="CS56" s="149"/>
      <c r="CT56" s="149"/>
      <c r="CU56" s="149"/>
      <c r="CV56" s="149"/>
      <c r="CW56" s="149"/>
      <c r="CX56" s="149"/>
      <c r="CY56" s="95"/>
      <c r="CZ56" s="95"/>
      <c r="DA56" s="95"/>
      <c r="DB56" s="95"/>
      <c r="DC56" s="95"/>
      <c r="DD56" s="95"/>
      <c r="DE56" s="149"/>
      <c r="DF56" s="87"/>
      <c r="DG56" s="87"/>
      <c r="DH56" s="87"/>
      <c r="DI56" s="149"/>
      <c r="DL56" s="95"/>
      <c r="DM56" s="95"/>
      <c r="DN56" s="95"/>
      <c r="DO56" s="95"/>
      <c r="DP56" s="95"/>
      <c r="DQ56" s="95"/>
      <c r="DR56" s="95"/>
      <c r="DS56" s="95"/>
      <c r="DT56" s="95"/>
      <c r="DU56" s="95"/>
      <c r="DV56" s="95"/>
      <c r="DW56" s="95"/>
      <c r="DY56" s="95"/>
      <c r="DZ56" s="95"/>
      <c r="EA56" s="95"/>
      <c r="EB56" s="95"/>
      <c r="EC56" s="95"/>
      <c r="ED56" s="95"/>
      <c r="EE56" s="95"/>
      <c r="EF56" s="95"/>
      <c r="EG56" s="95"/>
      <c r="EH56" s="95"/>
      <c r="EI56" s="95"/>
      <c r="EJ56" s="95"/>
      <c r="EK56" s="95"/>
      <c r="EL56" s="95"/>
      <c r="EM56" s="95"/>
      <c r="EN56" s="95"/>
      <c r="EO56" s="95"/>
      <c r="EP56" s="95"/>
      <c r="EQ56" s="95"/>
      <c r="ER56" s="95"/>
      <c r="ES56" s="95">
        <v>4.2857142857142899E-2</v>
      </c>
      <c r="ET56" s="95"/>
      <c r="EU56" s="95"/>
      <c r="EV56" s="95"/>
      <c r="EW56" s="95"/>
      <c r="EX56" s="95"/>
      <c r="EY56" s="95"/>
      <c r="EZ56" s="95"/>
      <c r="FA56" s="95"/>
      <c r="FB56" s="95"/>
      <c r="FC56" s="95"/>
      <c r="FD56" s="95"/>
      <c r="FE56" s="95"/>
      <c r="FF56" s="95"/>
      <c r="FG56" s="95"/>
      <c r="FH56" s="95"/>
      <c r="FI56" s="95"/>
      <c r="FJ56" s="95"/>
      <c r="FK56" s="95"/>
      <c r="FL56" s="95"/>
      <c r="FM56" s="95"/>
      <c r="FN56" s="95"/>
    </row>
    <row r="57" spans="1:170" s="338" customFormat="1" x14ac:dyDescent="0.2">
      <c r="A57" s="340"/>
      <c r="B57" s="80"/>
      <c r="C57" s="80"/>
      <c r="D57" s="80"/>
      <c r="E57" s="80"/>
      <c r="F57" s="81"/>
      <c r="G57" s="82"/>
      <c r="H57" s="152"/>
      <c r="I57" s="322"/>
      <c r="J57" s="84"/>
      <c r="K57" s="36"/>
      <c r="L57" s="36"/>
      <c r="M57" s="36"/>
      <c r="N57" s="36"/>
      <c r="O57" s="85"/>
      <c r="P57" s="85"/>
      <c r="Q57" s="85"/>
      <c r="R57" s="36"/>
      <c r="S57" s="36"/>
      <c r="T57" s="36"/>
      <c r="U57" s="36"/>
      <c r="V57" s="36"/>
      <c r="W57" s="86"/>
      <c r="X57" s="86"/>
      <c r="Y57" s="86"/>
      <c r="Z57" s="86"/>
      <c r="AA57" s="97"/>
      <c r="AB57" s="97"/>
      <c r="AC57" s="97"/>
      <c r="AD57" s="97"/>
      <c r="AE57" s="97"/>
      <c r="AF57" s="36"/>
      <c r="AG57" s="36"/>
      <c r="AH57" s="36"/>
      <c r="AI57" s="36"/>
      <c r="AJ57" s="36"/>
      <c r="AK57" s="36"/>
      <c r="AL57" s="36"/>
      <c r="AM57" s="36"/>
      <c r="AN57" s="36"/>
      <c r="AO57" s="36"/>
      <c r="AP57" s="36"/>
      <c r="AQ57" s="36"/>
      <c r="AR57" s="36"/>
      <c r="AS57" s="36"/>
      <c r="AT57" s="84"/>
      <c r="AU57" s="84"/>
      <c r="AV57" s="84"/>
      <c r="AW57" s="84"/>
      <c r="AX57" s="84"/>
      <c r="AY57" s="84"/>
      <c r="AZ57" s="36"/>
      <c r="BA57" s="36"/>
      <c r="BB57" s="36"/>
      <c r="BC57" s="36"/>
      <c r="BD57" s="84"/>
      <c r="BE57" s="84"/>
      <c r="BF57" s="84"/>
      <c r="BG57" s="84"/>
      <c r="BH57" s="84"/>
      <c r="BI57" s="84"/>
      <c r="BJ57" s="87"/>
      <c r="BK57" s="341"/>
      <c r="BL57" s="341"/>
      <c r="BM57" s="341"/>
      <c r="BN57" s="341"/>
      <c r="BO57" s="89"/>
      <c r="BP57" s="89"/>
      <c r="BQ57" s="90"/>
      <c r="BR57" s="90"/>
      <c r="BS57" s="87"/>
      <c r="BT57" s="87"/>
      <c r="BU57" s="335"/>
      <c r="BV57" s="336"/>
      <c r="BW57" s="152"/>
      <c r="BX57" s="94"/>
      <c r="BY57" s="94"/>
      <c r="BZ57" s="94"/>
      <c r="CA57" s="94"/>
      <c r="CB57" s="94"/>
      <c r="CD57" s="95"/>
      <c r="CE57" s="95"/>
      <c r="CF57" s="95"/>
      <c r="CG57" s="95"/>
      <c r="CH57" s="95"/>
      <c r="CI57" s="95"/>
      <c r="CJ57" s="95"/>
      <c r="CK57" s="95"/>
      <c r="CL57" s="95"/>
      <c r="CY57" s="95"/>
      <c r="CZ57" s="95"/>
      <c r="DA57" s="95"/>
      <c r="DB57" s="95"/>
      <c r="DC57" s="95"/>
      <c r="DD57" s="95"/>
      <c r="DF57" s="87"/>
      <c r="DG57" s="87"/>
      <c r="DH57" s="87"/>
      <c r="DL57" s="95"/>
      <c r="DM57" s="95"/>
      <c r="DN57" s="95"/>
      <c r="DO57" s="95"/>
      <c r="DP57" s="95"/>
      <c r="DQ57" s="95"/>
      <c r="DR57" s="95"/>
      <c r="DS57" s="95"/>
      <c r="DT57" s="95"/>
      <c r="DU57" s="95"/>
      <c r="DV57" s="95"/>
      <c r="DW57" s="95"/>
      <c r="DY57" s="95"/>
      <c r="DZ57" s="95"/>
      <c r="EA57" s="95"/>
      <c r="EB57" s="95"/>
      <c r="EC57" s="95"/>
      <c r="ED57" s="95"/>
      <c r="EE57" s="95"/>
      <c r="EF57" s="95"/>
      <c r="EG57" s="95"/>
      <c r="EH57" s="95"/>
      <c r="EI57" s="95"/>
      <c r="EJ57" s="95"/>
      <c r="EK57" s="95"/>
      <c r="EL57" s="95"/>
      <c r="EM57" s="95"/>
      <c r="EN57" s="95"/>
      <c r="EO57" s="95"/>
      <c r="EP57" s="95"/>
      <c r="EQ57" s="95"/>
      <c r="ER57" s="95"/>
      <c r="ES57" s="95"/>
      <c r="ET57" s="95"/>
      <c r="EU57" s="95"/>
      <c r="EV57" s="95"/>
      <c r="EW57" s="95"/>
      <c r="EX57" s="95"/>
      <c r="EY57" s="95"/>
      <c r="EZ57" s="95"/>
      <c r="FA57" s="95"/>
      <c r="FB57" s="95"/>
      <c r="FC57" s="95"/>
      <c r="FD57" s="95"/>
      <c r="FE57" s="95"/>
      <c r="FF57" s="95"/>
      <c r="FG57" s="95"/>
      <c r="FH57" s="95"/>
      <c r="FI57" s="95"/>
      <c r="FJ57" s="95"/>
      <c r="FK57" s="95"/>
      <c r="FL57" s="95"/>
      <c r="FM57" s="95"/>
      <c r="FN57" s="95"/>
    </row>
    <row r="58" spans="1:170" s="64" customFormat="1" x14ac:dyDescent="0.2">
      <c r="A58" s="79"/>
      <c r="B58" s="80"/>
      <c r="C58" s="80"/>
      <c r="D58" s="80"/>
      <c r="E58" s="80"/>
      <c r="F58" s="81"/>
      <c r="G58" s="82"/>
      <c r="H58" s="152"/>
      <c r="I58" s="343" t="s">
        <v>356</v>
      </c>
      <c r="J58" s="84"/>
      <c r="K58" s="36"/>
      <c r="L58" s="36"/>
      <c r="M58" s="36"/>
      <c r="N58" s="36"/>
      <c r="O58" s="85"/>
      <c r="P58" s="85"/>
      <c r="Q58" s="85"/>
      <c r="R58" s="36"/>
      <c r="S58" s="36"/>
      <c r="T58" s="36"/>
      <c r="U58" s="86"/>
      <c r="V58" s="86"/>
      <c r="W58" s="86"/>
      <c r="X58" s="86"/>
      <c r="Y58" s="86"/>
      <c r="Z58" s="86"/>
      <c r="AA58" s="84"/>
      <c r="AB58" s="84"/>
      <c r="AC58" s="84"/>
      <c r="AD58" s="84"/>
      <c r="AE58" s="84"/>
      <c r="AF58" s="86"/>
      <c r="AG58" s="86"/>
      <c r="AH58" s="86"/>
      <c r="AI58" s="86"/>
      <c r="AJ58" s="86"/>
      <c r="AK58" s="86"/>
      <c r="AL58" s="86"/>
      <c r="AM58" s="86"/>
      <c r="AN58" s="86"/>
      <c r="AO58" s="86"/>
      <c r="AP58" s="86"/>
      <c r="AQ58" s="86"/>
      <c r="AR58" s="86"/>
      <c r="AS58" s="86"/>
      <c r="AT58" s="84"/>
      <c r="AU58" s="84"/>
      <c r="AV58" s="84"/>
      <c r="AW58" s="84"/>
      <c r="AX58" s="84"/>
      <c r="AY58" s="84"/>
      <c r="AZ58" s="86"/>
      <c r="BA58" s="86"/>
      <c r="BB58" s="86"/>
      <c r="BC58" s="86"/>
      <c r="BD58" s="84"/>
      <c r="BE58" s="84"/>
      <c r="BF58" s="84"/>
      <c r="BG58" s="84"/>
      <c r="BH58" s="84"/>
      <c r="BI58" s="84"/>
      <c r="BJ58" s="87"/>
      <c r="BK58" s="265"/>
      <c r="BL58" s="265"/>
      <c r="BM58" s="265"/>
      <c r="BN58" s="265"/>
      <c r="BO58" s="89"/>
      <c r="BP58" s="89"/>
      <c r="BQ58" s="90"/>
      <c r="BR58" s="90"/>
      <c r="BS58" s="87"/>
      <c r="BT58" s="87"/>
      <c r="BU58" s="91"/>
      <c r="BV58" s="92"/>
      <c r="BW58" s="137"/>
      <c r="BX58" s="94"/>
      <c r="BY58" s="94"/>
      <c r="BZ58" s="94"/>
      <c r="CA58" s="94"/>
      <c r="CB58" s="94"/>
      <c r="CD58" s="95"/>
      <c r="CE58" s="95"/>
      <c r="CF58" s="95"/>
      <c r="CG58" s="95"/>
      <c r="CH58" s="95"/>
      <c r="CI58" s="95"/>
      <c r="CJ58" s="95"/>
      <c r="CK58" s="95"/>
      <c r="CL58" s="95"/>
      <c r="CY58" s="95"/>
      <c r="CZ58" s="95"/>
      <c r="DA58" s="95"/>
      <c r="DB58" s="95"/>
      <c r="DC58" s="95"/>
      <c r="DD58" s="95"/>
      <c r="DF58" s="98"/>
      <c r="DG58" s="99"/>
      <c r="DH58" s="100"/>
      <c r="DL58" s="95"/>
      <c r="DM58" s="95"/>
      <c r="DN58" s="95"/>
      <c r="DO58" s="95"/>
      <c r="DP58" s="95"/>
      <c r="DQ58" s="95"/>
      <c r="DR58" s="95"/>
      <c r="DS58" s="95"/>
      <c r="DT58" s="95"/>
      <c r="DU58" s="95"/>
      <c r="DV58" s="95"/>
      <c r="DW58" s="95"/>
      <c r="DY58" s="95"/>
      <c r="DZ58" s="95"/>
      <c r="EA58" s="95"/>
      <c r="EB58" s="95"/>
      <c r="EC58" s="95"/>
      <c r="ED58" s="95"/>
      <c r="EE58" s="95"/>
      <c r="EF58" s="95"/>
      <c r="EG58" s="95"/>
      <c r="EH58" s="95"/>
      <c r="EI58" s="95"/>
      <c r="EJ58" s="95"/>
      <c r="EK58" s="95"/>
      <c r="EL58" s="95"/>
      <c r="EM58" s="95"/>
      <c r="EN58" s="95"/>
      <c r="EO58" s="95"/>
      <c r="EP58" s="95"/>
      <c r="EQ58" s="95"/>
      <c r="ER58" s="95"/>
      <c r="ES58" s="95"/>
      <c r="ET58" s="95"/>
      <c r="EU58" s="95"/>
      <c r="EV58" s="95"/>
      <c r="EW58" s="95"/>
      <c r="EX58" s="95"/>
      <c r="EY58" s="95"/>
      <c r="EZ58" s="95"/>
      <c r="FA58" s="95"/>
      <c r="FB58" s="95"/>
      <c r="FC58" s="95"/>
      <c r="FD58" s="95"/>
      <c r="FE58" s="95"/>
      <c r="FF58" s="95"/>
      <c r="FG58" s="95"/>
      <c r="FH58" s="95"/>
      <c r="FI58" s="95"/>
      <c r="FJ58" s="95"/>
      <c r="FK58" s="95"/>
      <c r="FL58" s="95"/>
      <c r="FM58" s="95"/>
      <c r="FN58" s="95"/>
    </row>
    <row r="59" spans="1:170" s="64" customFormat="1" x14ac:dyDescent="0.2">
      <c r="A59" s="79"/>
      <c r="B59" s="80"/>
      <c r="C59" s="80"/>
      <c r="D59" s="80"/>
      <c r="E59" s="80"/>
      <c r="F59" s="81"/>
      <c r="G59" s="82"/>
      <c r="H59" s="152"/>
      <c r="I59" s="343" t="s">
        <v>363</v>
      </c>
      <c r="J59" s="84"/>
      <c r="K59" s="36"/>
      <c r="L59" s="36"/>
      <c r="M59" s="36"/>
      <c r="N59" s="36"/>
      <c r="O59" s="85"/>
      <c r="P59" s="85"/>
      <c r="Q59" s="85"/>
      <c r="R59" s="36"/>
      <c r="S59" s="36"/>
      <c r="T59" s="36"/>
      <c r="U59" s="86"/>
      <c r="V59" s="86"/>
      <c r="W59" s="86"/>
      <c r="X59" s="86"/>
      <c r="Y59" s="86"/>
      <c r="Z59" s="86"/>
      <c r="AA59" s="84"/>
      <c r="AB59" s="84"/>
      <c r="AC59" s="84"/>
      <c r="AD59" s="84"/>
      <c r="AE59" s="84"/>
      <c r="AF59" s="36"/>
      <c r="AG59" s="36"/>
      <c r="AH59" s="36"/>
      <c r="AI59" s="36"/>
      <c r="AJ59" s="36"/>
      <c r="AK59" s="36"/>
      <c r="AL59" s="36"/>
      <c r="AM59" s="36"/>
      <c r="AN59" s="36"/>
      <c r="AO59" s="36"/>
      <c r="AP59" s="36"/>
      <c r="AQ59" s="36"/>
      <c r="AR59" s="36"/>
      <c r="AS59" s="36"/>
      <c r="AT59" s="84"/>
      <c r="AU59" s="84"/>
      <c r="AV59" s="84"/>
      <c r="AW59" s="84"/>
      <c r="AX59" s="84"/>
      <c r="AY59" s="84"/>
      <c r="AZ59" s="36"/>
      <c r="BA59" s="36"/>
      <c r="BB59" s="36"/>
      <c r="BC59" s="36"/>
      <c r="BD59" s="84"/>
      <c r="BE59" s="84"/>
      <c r="BF59" s="84"/>
      <c r="BG59" s="84"/>
      <c r="BH59" s="84"/>
      <c r="BI59" s="84"/>
      <c r="BJ59" s="87"/>
      <c r="BK59" s="265"/>
      <c r="BL59" s="265"/>
      <c r="BM59" s="265"/>
      <c r="BN59" s="265"/>
      <c r="BO59" s="89"/>
      <c r="BP59" s="89"/>
      <c r="BQ59" s="90"/>
      <c r="BR59" s="90"/>
      <c r="BS59" s="87"/>
      <c r="BT59" s="87"/>
      <c r="BU59" s="91"/>
      <c r="BV59" s="92"/>
      <c r="BW59" s="137"/>
      <c r="BX59" s="94"/>
      <c r="BY59" s="94"/>
      <c r="BZ59" s="94"/>
      <c r="CA59" s="94"/>
      <c r="CB59" s="94"/>
      <c r="CD59" s="95"/>
      <c r="CE59" s="95"/>
      <c r="CF59" s="95"/>
      <c r="CG59" s="95"/>
      <c r="CH59" s="95"/>
      <c r="CI59" s="95"/>
      <c r="CJ59" s="95"/>
      <c r="CK59" s="95"/>
      <c r="CL59" s="95"/>
      <c r="DD59" s="150"/>
      <c r="DF59" s="98"/>
      <c r="DG59" s="99"/>
      <c r="DH59" s="87"/>
      <c r="DY59" s="95"/>
      <c r="DZ59" s="95"/>
      <c r="EA59" s="95"/>
      <c r="EB59" s="95"/>
      <c r="EC59" s="95"/>
      <c r="ED59" s="95"/>
      <c r="EE59" s="95"/>
      <c r="EF59" s="95"/>
      <c r="EG59" s="95"/>
      <c r="EH59" s="95"/>
      <c r="EI59" s="95"/>
      <c r="EJ59" s="95"/>
      <c r="EK59" s="95"/>
      <c r="EL59" s="95"/>
      <c r="EM59" s="95"/>
      <c r="EN59" s="95"/>
      <c r="EO59" s="95"/>
      <c r="EP59" s="95"/>
      <c r="EQ59" s="95"/>
      <c r="ER59" s="95"/>
      <c r="ES59" s="95"/>
      <c r="ET59" s="95"/>
      <c r="EU59" s="95"/>
      <c r="EV59" s="95"/>
      <c r="EW59" s="95"/>
      <c r="EX59" s="95"/>
      <c r="EY59" s="95"/>
      <c r="EZ59" s="95"/>
      <c r="FA59" s="95"/>
      <c r="FB59" s="95"/>
      <c r="FC59" s="95"/>
      <c r="FD59" s="95"/>
      <c r="FE59" s="95"/>
      <c r="FF59" s="95"/>
      <c r="FG59" s="95"/>
      <c r="FH59" s="95"/>
      <c r="FI59" s="95"/>
      <c r="FJ59" s="95"/>
      <c r="FK59" s="95"/>
      <c r="FL59" s="95"/>
      <c r="FM59" s="95"/>
      <c r="FN59" s="95"/>
    </row>
    <row r="60" spans="1:170" s="64" customFormat="1" x14ac:dyDescent="0.2">
      <c r="A60" s="88"/>
      <c r="B60" s="88" t="s">
        <v>41</v>
      </c>
      <c r="C60" s="88"/>
      <c r="D60" s="88"/>
      <c r="E60" s="88"/>
      <c r="F60" s="88"/>
      <c r="G60" s="101"/>
      <c r="H60" s="101"/>
      <c r="I60" s="102"/>
      <c r="J60" s="36"/>
      <c r="K60" s="36"/>
      <c r="L60" s="36"/>
      <c r="M60" s="36"/>
      <c r="N60" s="36"/>
      <c r="O60" s="85"/>
      <c r="P60" s="85"/>
      <c r="Q60" s="85"/>
      <c r="R60" s="36"/>
      <c r="S60" s="36"/>
      <c r="T60" s="36"/>
      <c r="U60" s="36"/>
      <c r="V60" s="36"/>
      <c r="W60" s="86"/>
      <c r="X60" s="86"/>
      <c r="Y60" s="86"/>
      <c r="Z60" s="8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8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103"/>
      <c r="BK60" s="265"/>
      <c r="BL60" s="265"/>
      <c r="BM60" s="265"/>
      <c r="BN60" s="265"/>
      <c r="BO60" s="88"/>
      <c r="BP60" s="88"/>
      <c r="BQ60" s="234"/>
      <c r="BR60" s="88"/>
      <c r="BS60" s="88"/>
      <c r="BT60" s="88"/>
      <c r="BU60" s="104"/>
      <c r="BV60" s="88"/>
      <c r="BW60" s="138"/>
      <c r="BX60" s="88"/>
      <c r="BY60" s="88"/>
      <c r="BZ60" s="88"/>
      <c r="CA60" s="88"/>
      <c r="CB60" s="88"/>
      <c r="DD60" s="150"/>
      <c r="DE60" s="96"/>
      <c r="DF60" s="98"/>
      <c r="DG60" s="106"/>
      <c r="DH60" s="98"/>
      <c r="DY60" s="96"/>
      <c r="DZ60" s="96"/>
      <c r="EA60" s="96"/>
      <c r="EB60" s="96"/>
      <c r="EC60" s="96"/>
      <c r="ED60" s="96"/>
      <c r="EE60" s="96"/>
      <c r="EF60" s="105"/>
      <c r="EG60" s="105"/>
      <c r="EH60" s="105"/>
      <c r="EI60" s="105"/>
      <c r="EJ60" s="105"/>
      <c r="EK60" s="105"/>
      <c r="EL60" s="105"/>
      <c r="EM60" s="96"/>
      <c r="EN60" s="96"/>
      <c r="EO60" s="96"/>
      <c r="EP60" s="96"/>
      <c r="EQ60" s="96"/>
      <c r="ER60" s="96"/>
      <c r="ES60" s="96"/>
      <c r="ET60" s="96"/>
      <c r="EU60" s="96"/>
      <c r="EV60" s="96"/>
      <c r="EW60" s="96"/>
      <c r="EX60" s="96"/>
      <c r="EY60" s="96"/>
      <c r="EZ60" s="96"/>
      <c r="FA60" s="96"/>
      <c r="FB60" s="96"/>
      <c r="FC60" s="96"/>
      <c r="FD60" s="96"/>
      <c r="FE60" s="96"/>
      <c r="FF60" s="96"/>
      <c r="FG60" s="96"/>
      <c r="FH60" s="96"/>
      <c r="FI60" s="96"/>
      <c r="FJ60" s="96"/>
      <c r="FK60" s="96"/>
      <c r="FL60" s="96"/>
      <c r="FM60" s="96"/>
      <c r="FN60" s="96"/>
    </row>
    <row r="61" spans="1:170" s="64" customFormat="1" x14ac:dyDescent="0.2">
      <c r="A61" s="88"/>
      <c r="B61" s="105" t="s">
        <v>41</v>
      </c>
      <c r="C61" s="105"/>
      <c r="D61" s="105"/>
      <c r="E61" s="105"/>
      <c r="F61" s="88"/>
      <c r="G61" s="88"/>
      <c r="H61" s="88"/>
      <c r="I61" s="107" t="s">
        <v>41</v>
      </c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108"/>
      <c r="AC61" s="108"/>
      <c r="AD61" s="108"/>
      <c r="AE61" s="108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8"/>
      <c r="AU61" s="108"/>
      <c r="AV61" s="108"/>
      <c r="AW61" s="108"/>
      <c r="AX61" s="108"/>
      <c r="AY61" s="108"/>
      <c r="AZ61" s="109"/>
      <c r="BA61" s="109"/>
      <c r="BB61" s="109"/>
      <c r="BC61" s="109"/>
      <c r="BD61" s="108"/>
      <c r="BE61" s="108"/>
      <c r="BF61" s="108"/>
      <c r="BG61" s="108"/>
      <c r="BH61" s="108"/>
      <c r="BI61" s="108"/>
      <c r="BJ61" s="110"/>
      <c r="BK61" s="265"/>
      <c r="BL61" s="265"/>
      <c r="BM61" s="265"/>
      <c r="BN61" s="265"/>
      <c r="BO61" s="88"/>
      <c r="BP61" s="88"/>
      <c r="BQ61" s="88"/>
      <c r="BR61" s="88"/>
      <c r="BS61" s="88"/>
      <c r="BT61" s="88"/>
      <c r="BU61" s="88"/>
      <c r="BV61" s="88"/>
      <c r="BW61" s="138"/>
      <c r="BX61" s="88"/>
      <c r="BY61" s="88"/>
      <c r="BZ61" s="88"/>
      <c r="CA61" s="88"/>
      <c r="CB61" s="88"/>
      <c r="DD61" s="150"/>
      <c r="DF61" s="110"/>
      <c r="DG61" s="110"/>
      <c r="DH61" s="110"/>
    </row>
    <row r="62" spans="1:170" s="64" customFormat="1" x14ac:dyDescent="0.2">
      <c r="A62" s="88"/>
      <c r="B62" s="105" t="s">
        <v>41</v>
      </c>
      <c r="C62" s="105"/>
      <c r="D62" s="105"/>
      <c r="E62" s="105"/>
      <c r="F62" s="38"/>
      <c r="G62" s="112">
        <f>SUBTOTAL(3,G4:G53)</f>
        <v>3</v>
      </c>
      <c r="H62" s="153"/>
      <c r="I62" s="111" t="s">
        <v>139</v>
      </c>
      <c r="J62" s="112">
        <f t="shared" ref="J62:AD62" si="321">SUBTOTAL(9,J4:J53)</f>
        <v>62499</v>
      </c>
      <c r="K62" s="112">
        <f t="shared" si="321"/>
        <v>84543</v>
      </c>
      <c r="L62" s="112">
        <f t="shared" si="321"/>
        <v>1368375</v>
      </c>
      <c r="M62" s="112">
        <f t="shared" si="321"/>
        <v>73789</v>
      </c>
      <c r="N62" s="112">
        <f t="shared" si="321"/>
        <v>39448</v>
      </c>
      <c r="O62" s="112">
        <f t="shared" si="321"/>
        <v>1628654</v>
      </c>
      <c r="P62" s="112">
        <f t="shared" si="321"/>
        <v>1628654</v>
      </c>
      <c r="Q62" s="112">
        <f t="shared" si="321"/>
        <v>0</v>
      </c>
      <c r="R62" s="112">
        <f t="shared" si="321"/>
        <v>0</v>
      </c>
      <c r="S62" s="112">
        <f t="shared" si="321"/>
        <v>0</v>
      </c>
      <c r="T62" s="112">
        <f t="shared" si="321"/>
        <v>1628654</v>
      </c>
      <c r="U62" s="112">
        <f t="shared" si="321"/>
        <v>0</v>
      </c>
      <c r="V62" s="112">
        <f t="shared" si="321"/>
        <v>0</v>
      </c>
      <c r="W62" s="112">
        <f t="shared" si="321"/>
        <v>16287</v>
      </c>
      <c r="X62" s="112">
        <f t="shared" si="321"/>
        <v>0</v>
      </c>
      <c r="Y62" s="112">
        <f t="shared" si="321"/>
        <v>0</v>
      </c>
      <c r="Z62" s="112">
        <f t="shared" si="321"/>
        <v>0</v>
      </c>
      <c r="AA62" s="112">
        <f t="shared" si="321"/>
        <v>0</v>
      </c>
      <c r="AB62" s="112">
        <f t="shared" si="321"/>
        <v>0</v>
      </c>
      <c r="AC62" s="112">
        <f t="shared" si="321"/>
        <v>0</v>
      </c>
      <c r="AD62" s="112">
        <f t="shared" si="321"/>
        <v>0</v>
      </c>
      <c r="AE62" s="112"/>
      <c r="AF62" s="112">
        <f t="shared" ref="AF62:BJ62" si="322">SUBTOTAL(9,AF4:AF53)</f>
        <v>1628654</v>
      </c>
      <c r="AG62" s="112">
        <f t="shared" si="322"/>
        <v>0</v>
      </c>
      <c r="AH62" s="112">
        <f t="shared" si="322"/>
        <v>0</v>
      </c>
      <c r="AI62" s="112">
        <f t="shared" si="322"/>
        <v>16287</v>
      </c>
      <c r="AJ62" s="112">
        <f t="shared" si="322"/>
        <v>1644941</v>
      </c>
      <c r="AK62" s="112">
        <f t="shared" si="322"/>
        <v>1628654</v>
      </c>
      <c r="AL62" s="112">
        <f t="shared" si="322"/>
        <v>0</v>
      </c>
      <c r="AM62" s="112">
        <f t="shared" si="322"/>
        <v>0</v>
      </c>
      <c r="AN62" s="112">
        <f t="shared" si="322"/>
        <v>16287</v>
      </c>
      <c r="AO62" s="112">
        <f t="shared" si="322"/>
        <v>1644941</v>
      </c>
      <c r="AP62" s="112">
        <f t="shared" si="322"/>
        <v>143484</v>
      </c>
      <c r="AQ62" s="112">
        <f t="shared" si="322"/>
        <v>0</v>
      </c>
      <c r="AR62" s="112">
        <f t="shared" si="322"/>
        <v>0</v>
      </c>
      <c r="AS62" s="112">
        <f t="shared" si="322"/>
        <v>1435</v>
      </c>
      <c r="AT62" s="112">
        <f t="shared" si="322"/>
        <v>144919</v>
      </c>
      <c r="AU62" s="112">
        <f t="shared" si="322"/>
        <v>318985</v>
      </c>
      <c r="AV62" s="112">
        <f t="shared" si="322"/>
        <v>0</v>
      </c>
      <c r="AW62" s="112">
        <f t="shared" si="322"/>
        <v>0</v>
      </c>
      <c r="AX62" s="112">
        <f t="shared" si="322"/>
        <v>3190</v>
      </c>
      <c r="AY62" s="112">
        <f t="shared" si="322"/>
        <v>322175</v>
      </c>
      <c r="AZ62" s="112">
        <f t="shared" si="322"/>
        <v>0</v>
      </c>
      <c r="BA62" s="112">
        <f t="shared" si="322"/>
        <v>0</v>
      </c>
      <c r="BB62" s="112">
        <f t="shared" si="322"/>
        <v>0</v>
      </c>
      <c r="BC62" s="112">
        <f t="shared" si="322"/>
        <v>0</v>
      </c>
      <c r="BD62" s="112">
        <f t="shared" si="322"/>
        <v>0</v>
      </c>
      <c r="BE62" s="112">
        <f t="shared" si="322"/>
        <v>0</v>
      </c>
      <c r="BF62" s="112">
        <f t="shared" si="322"/>
        <v>0</v>
      </c>
      <c r="BG62" s="112">
        <f t="shared" si="322"/>
        <v>0</v>
      </c>
      <c r="BH62" s="112">
        <f t="shared" si="322"/>
        <v>0</v>
      </c>
      <c r="BI62" s="112">
        <f t="shared" si="322"/>
        <v>0</v>
      </c>
      <c r="BJ62" s="113">
        <f t="shared" si="322"/>
        <v>2112035</v>
      </c>
      <c r="BK62" s="266"/>
      <c r="BL62" s="266"/>
      <c r="BM62" s="266"/>
      <c r="BN62" s="266"/>
      <c r="BO62" s="114"/>
      <c r="BP62" s="115"/>
      <c r="BQ62" s="116"/>
      <c r="BR62" s="115"/>
      <c r="BS62" s="113">
        <f>SUBTOTAL(9,BS4:BS53)</f>
        <v>2112035</v>
      </c>
      <c r="BT62" s="113">
        <f>SUBTOTAL(9,BT4:BT53)</f>
        <v>0</v>
      </c>
      <c r="BU62" s="115">
        <f>SUBTOTAL(9,BU4:BU53)</f>
        <v>0.61199999999999999</v>
      </c>
      <c r="BV62" s="22" t="e">
        <f t="shared" ref="BV62:CB62" si="323">SUBTOTAL(1,BV4:BV53)</f>
        <v>#DIV/0!</v>
      </c>
      <c r="BW62" s="139" t="e">
        <f t="shared" si="323"/>
        <v>#DIV/0!</v>
      </c>
      <c r="BX62" s="25" t="e">
        <f t="shared" si="323"/>
        <v>#DIV/0!</v>
      </c>
      <c r="BY62" s="25" t="e">
        <f t="shared" si="323"/>
        <v>#DIV/0!</v>
      </c>
      <c r="BZ62" s="25" t="e">
        <f t="shared" si="323"/>
        <v>#DIV/0!</v>
      </c>
      <c r="CA62" s="25" t="e">
        <f t="shared" si="323"/>
        <v>#DIV/0!</v>
      </c>
      <c r="CB62" s="25" t="e">
        <f t="shared" si="323"/>
        <v>#DIV/0!</v>
      </c>
      <c r="CD62" s="74">
        <f t="shared" ref="CD62:DA62" si="324">SUBTOTAL(9,CD4:CD53)</f>
        <v>232.09800000000001</v>
      </c>
      <c r="CE62" s="74">
        <f t="shared" si="324"/>
        <v>65.79140000000001</v>
      </c>
      <c r="CF62" s="74">
        <f t="shared" si="324"/>
        <v>0</v>
      </c>
      <c r="CG62" s="74">
        <f t="shared" si="324"/>
        <v>0</v>
      </c>
      <c r="CH62" s="74">
        <f t="shared" si="324"/>
        <v>0</v>
      </c>
      <c r="CI62" s="74">
        <f t="shared" si="324"/>
        <v>0</v>
      </c>
      <c r="CJ62" s="74">
        <f t="shared" si="324"/>
        <v>0</v>
      </c>
      <c r="CK62" s="74">
        <f t="shared" si="324"/>
        <v>0</v>
      </c>
      <c r="CL62" s="74">
        <f t="shared" si="324"/>
        <v>0</v>
      </c>
      <c r="CM62" s="74">
        <f t="shared" si="324"/>
        <v>1.0051755999999998</v>
      </c>
      <c r="CN62" s="74">
        <f t="shared" si="324"/>
        <v>0</v>
      </c>
      <c r="CO62" s="74">
        <f t="shared" si="324"/>
        <v>0</v>
      </c>
      <c r="CP62" s="74">
        <f t="shared" si="324"/>
        <v>150.06620000000001</v>
      </c>
      <c r="CQ62" s="74">
        <f t="shared" si="324"/>
        <v>0</v>
      </c>
      <c r="CR62" s="74">
        <f t="shared" si="324"/>
        <v>0</v>
      </c>
      <c r="CS62" s="74">
        <f t="shared" si="324"/>
        <v>0</v>
      </c>
      <c r="CT62" s="74">
        <f t="shared" si="324"/>
        <v>0</v>
      </c>
      <c r="CU62" s="74">
        <f t="shared" si="324"/>
        <v>0</v>
      </c>
      <c r="CV62" s="74">
        <f t="shared" si="324"/>
        <v>0</v>
      </c>
      <c r="CW62" s="74">
        <f t="shared" si="324"/>
        <v>0</v>
      </c>
      <c r="CX62" s="74">
        <f t="shared" si="324"/>
        <v>0</v>
      </c>
      <c r="CY62" s="74">
        <f t="shared" si="324"/>
        <v>0</v>
      </c>
      <c r="CZ62" s="74">
        <f t="shared" si="324"/>
        <v>0</v>
      </c>
      <c r="DA62" s="74">
        <f t="shared" si="324"/>
        <v>0</v>
      </c>
      <c r="DB62" s="74"/>
      <c r="DC62" s="74"/>
      <c r="DD62" s="95"/>
      <c r="DF62" s="117">
        <f>SUBTOTAL(9,DF4:DF53)</f>
        <v>0</v>
      </c>
      <c r="DG62" s="118" t="e">
        <f>DH62/(DF62+DH62)</f>
        <v>#DIV/0!</v>
      </c>
      <c r="DH62" s="113">
        <f>SUBTOTAL(9,DH4:DH53)</f>
        <v>0</v>
      </c>
      <c r="DL62" s="74">
        <f t="shared" ref="DL62:DW62" si="325">SUBTOTAL(9,DL4:DL53)</f>
        <v>18.181043192488268</v>
      </c>
      <c r="DM62" s="74">
        <f t="shared" si="325"/>
        <v>150.06620000000001</v>
      </c>
      <c r="DN62" s="74">
        <f t="shared" si="325"/>
        <v>5.0984288122130303</v>
      </c>
      <c r="DO62" s="74">
        <f t="shared" si="325"/>
        <v>137.44563949352684</v>
      </c>
      <c r="DP62" s="74">
        <f t="shared" si="325"/>
        <v>8.7687668475961065</v>
      </c>
      <c r="DQ62" s="74">
        <f t="shared" si="325"/>
        <v>0</v>
      </c>
      <c r="DR62" s="74">
        <f t="shared" si="325"/>
        <v>30.059640602234101</v>
      </c>
      <c r="DS62" s="74">
        <f t="shared" si="325"/>
        <v>0</v>
      </c>
      <c r="DT62" s="74">
        <f t="shared" si="325"/>
        <v>0</v>
      </c>
      <c r="DU62" s="74">
        <f t="shared" si="325"/>
        <v>16.782501408450706</v>
      </c>
      <c r="DV62" s="74">
        <f t="shared" si="325"/>
        <v>0</v>
      </c>
      <c r="DW62" s="182">
        <f t="shared" si="325"/>
        <v>0</v>
      </c>
    </row>
    <row r="63" spans="1:170" x14ac:dyDescent="0.2">
      <c r="A63" s="119" t="s">
        <v>41</v>
      </c>
      <c r="I63" s="120"/>
    </row>
    <row r="64" spans="1:170" x14ac:dyDescent="0.2">
      <c r="A64" s="88"/>
      <c r="B64" s="88" t="s">
        <v>41</v>
      </c>
      <c r="C64" s="88"/>
      <c r="D64" s="88"/>
      <c r="E64" s="88"/>
      <c r="F64" s="88" t="s">
        <v>41</v>
      </c>
      <c r="G64" s="88"/>
      <c r="H64" s="88"/>
      <c r="I64" s="107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Z64" s="109"/>
      <c r="BA64" s="109"/>
      <c r="BB64" s="109"/>
      <c r="BC64" s="109"/>
      <c r="BR64" s="88"/>
      <c r="BS64" s="232"/>
      <c r="BT64" s="104"/>
      <c r="BU64" s="88"/>
      <c r="BV64" s="88"/>
      <c r="BW64" s="138"/>
      <c r="BX64" s="88"/>
      <c r="BY64" s="88"/>
      <c r="BZ64" s="88"/>
      <c r="CA64" s="88"/>
      <c r="CB64" s="88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85"/>
      <c r="DL64" s="125"/>
      <c r="DM64" s="125"/>
      <c r="DN64" s="125"/>
      <c r="DO64" s="125"/>
      <c r="DP64" s="125"/>
      <c r="DQ64" s="125"/>
      <c r="DR64" s="125"/>
      <c r="DS64" s="125"/>
      <c r="DT64" s="125"/>
      <c r="DU64" s="125"/>
      <c r="DV64" s="125"/>
      <c r="DW64" s="125"/>
    </row>
    <row r="65" spans="9:170" x14ac:dyDescent="0.2">
      <c r="BS65" s="288"/>
      <c r="BT65" s="288"/>
    </row>
    <row r="66" spans="9:170" x14ac:dyDescent="0.2">
      <c r="BS66" s="233"/>
    </row>
    <row r="67" spans="9:170" x14ac:dyDescent="0.2">
      <c r="BS67" s="188"/>
      <c r="DY67" s="184">
        <v>2</v>
      </c>
      <c r="DZ67" s="178">
        <v>3</v>
      </c>
      <c r="EA67" s="178">
        <v>4</v>
      </c>
      <c r="EB67" s="178">
        <v>5</v>
      </c>
      <c r="EC67" s="178">
        <v>6</v>
      </c>
      <c r="ED67" s="178">
        <v>7</v>
      </c>
      <c r="EE67" s="178">
        <v>8</v>
      </c>
      <c r="EF67" s="178">
        <v>14</v>
      </c>
      <c r="EG67" s="178">
        <v>15</v>
      </c>
      <c r="EH67" s="178">
        <v>16</v>
      </c>
      <c r="EI67" s="178">
        <v>17</v>
      </c>
      <c r="EJ67" s="178">
        <v>18</v>
      </c>
      <c r="EK67" s="178">
        <v>19</v>
      </c>
      <c r="EL67" s="178">
        <v>20</v>
      </c>
      <c r="EM67" s="178">
        <v>21</v>
      </c>
      <c r="EN67" s="178">
        <v>22</v>
      </c>
      <c r="EO67" s="178">
        <v>23</v>
      </c>
      <c r="EP67" s="178">
        <v>24</v>
      </c>
      <c r="EQ67" s="178">
        <v>25</v>
      </c>
      <c r="ER67" s="178">
        <v>26</v>
      </c>
      <c r="ES67" s="178">
        <v>27</v>
      </c>
      <c r="ET67" s="178">
        <v>28</v>
      </c>
      <c r="EU67" s="178">
        <v>29</v>
      </c>
      <c r="EV67" s="178">
        <v>30</v>
      </c>
      <c r="EW67" s="178">
        <v>31</v>
      </c>
      <c r="EX67" s="178">
        <v>32</v>
      </c>
      <c r="EY67" s="178">
        <v>33</v>
      </c>
      <c r="EZ67" s="178">
        <v>34</v>
      </c>
      <c r="FA67" s="178">
        <v>35</v>
      </c>
      <c r="FB67" s="178">
        <v>36</v>
      </c>
      <c r="FC67" s="178">
        <v>37</v>
      </c>
      <c r="FD67" s="178">
        <v>38</v>
      </c>
      <c r="FE67" s="178">
        <v>39</v>
      </c>
      <c r="FF67" s="178">
        <v>40</v>
      </c>
      <c r="FG67" s="178">
        <v>41</v>
      </c>
      <c r="FH67" s="178">
        <v>42</v>
      </c>
      <c r="FI67" s="178">
        <v>43</v>
      </c>
      <c r="FJ67" s="178">
        <v>44</v>
      </c>
      <c r="FK67" s="178">
        <v>45</v>
      </c>
      <c r="FL67" s="178">
        <v>46</v>
      </c>
      <c r="FM67" s="178">
        <v>47</v>
      </c>
      <c r="FN67" s="178">
        <v>48</v>
      </c>
    </row>
    <row r="68" spans="9:170" x14ac:dyDescent="0.2">
      <c r="BS68" s="188"/>
    </row>
    <row r="74" spans="9:170" x14ac:dyDescent="0.2">
      <c r="I74" s="191"/>
    </row>
  </sheetData>
  <sheetProtection password="CAE6" sheet="1" objects="1" scenarios="1" formatRows="0" autoFilter="0"/>
  <autoFilter ref="A3:DI56">
    <filterColumn colId="8">
      <customFilters>
        <customFilter operator="notEqual" val=" "/>
      </customFilters>
    </filterColumn>
  </autoFilter>
  <sortState ref="I20:I41">
    <sortCondition ref="I20"/>
  </sortState>
  <customSheetViews>
    <customSheetView guid="{76AC8A47-0222-474F-85DA-9CB477F01022}" scale="115" showGridLines="0" zeroValues="0" fitToPage="1" showAutoFilter="1" hiddenRows="1" hiddenColumns="1">
      <pane xSplit="9" ySplit="3" topLeftCell="BL201" activePane="bottomRight" state="frozen"/>
      <selection pane="bottomRight" activeCell="BL207" sqref="BL207"/>
      <pageMargins left="0.19685039370078741" right="0.19685039370078741" top="0.39370078740157483" bottom="0.19685039370078741" header="0.39370078740157483" footer="0.27559055118110237"/>
      <printOptions horizontalCentered="1"/>
      <pageSetup paperSize="9" scale="14" fitToHeight="20" orientation="portrait" r:id="rId1"/>
      <headerFooter alignWithMargins="0">
        <oddFooter>&amp;L&amp;T &amp;D&amp;R&amp;"Times New Roman,обычный"&amp;9&amp;P</oddFooter>
      </headerFooter>
      <autoFilter ref="A3:GV211">
        <filterColumn colId="122" showButton="0"/>
        <filterColumn colId="123" showButton="0"/>
        <filterColumn colId="124" showButton="0"/>
        <filterColumn colId="125" showButton="0"/>
        <filterColumn colId="126" showButton="0"/>
        <filterColumn colId="127" showButton="0"/>
        <filterColumn colId="129" showButton="0"/>
        <filterColumn colId="130" showButton="0"/>
        <filterColumn colId="131" showButton="0"/>
        <filterColumn colId="132" showButton="0"/>
        <filterColumn colId="134" showButton="0"/>
        <filterColumn colId="135" showButton="0"/>
        <filterColumn colId="136" showButton="0"/>
        <filterColumn colId="137" showButton="0"/>
        <filterColumn colId="138" showButton="0"/>
        <filterColumn colId="139" showButton="0"/>
        <filterColumn colId="141" showButton="0"/>
        <filterColumn colId="142" showButton="0"/>
        <filterColumn colId="143" showButton="0"/>
        <filterColumn colId="144" showButton="0"/>
        <filterColumn colId="145" showButton="0"/>
        <filterColumn colId="146" showButton="0"/>
        <filterColumn colId="148" showButton="0"/>
        <filterColumn colId="149" showButton="0"/>
        <filterColumn colId="150" showButton="0"/>
        <filterColumn colId="151" showButton="0"/>
        <filterColumn colId="153" showButton="0"/>
        <filterColumn colId="154" showButton="0"/>
        <filterColumn colId="155" showButton="0"/>
        <filterColumn colId="156" showButton="0"/>
        <filterColumn colId="157" showButton="0"/>
        <filterColumn colId="159" showButton="0"/>
      </autoFilter>
    </customSheetView>
    <customSheetView guid="{4A5FEB23-9FEA-4E9B-A143-FBC359C68DA8}" scale="115" showPageBreaks="1" showGridLines="0" zeroValues="0" fitToPage="1" printArea="1" showAutoFilter="1" hiddenRows="1" showRuler="0">
      <pane xSplit="9" ySplit="3" topLeftCell="BK174" activePane="bottomRight" state="frozen"/>
      <selection pane="bottomRight" activeCell="I175" sqref="I175"/>
      <pageMargins left="0.19685039370078741" right="0.19685039370078741" top="0.39370078740157483" bottom="0.19685039370078741" header="0.39370078740157483" footer="0.27559055118110237"/>
      <printOptions horizontalCentered="1"/>
      <pageSetup paperSize="9" scale="14" fitToHeight="20" orientation="portrait" r:id="rId2"/>
      <headerFooter alignWithMargins="0">
        <oddFooter>&amp;L&amp;T &amp;D&amp;R&amp;"Times New Roman,обычный"&amp;9&amp;P</oddFooter>
      </headerFooter>
      <autoFilter ref="B1:GS1"/>
    </customSheetView>
    <customSheetView guid="{BBEE06E4-9205-40DB-9C78-E17648755B00}" scale="115" showGridLines="0" zeroValues="0" fitToPage="1" showAutoFilter="1" hiddenRows="1" hiddenColumns="1" showRuler="0">
      <pane xSplit="9" ySplit="3" topLeftCell="J4" activePane="bottomRight" state="frozen"/>
      <selection pane="bottomRight" activeCell="J7" sqref="J7"/>
      <pageMargins left="0.19685039370078741" right="0.19685039370078741" top="0.39370078740157483" bottom="0.19685039370078741" header="0.39370078740157483" footer="0.27559055118110237"/>
      <printOptions horizontalCentered="1"/>
      <pageSetup paperSize="9" fitToHeight="20" orientation="portrait" r:id="rId3"/>
      <headerFooter alignWithMargins="0">
        <oddFooter>&amp;L&amp;T &amp;D&amp;R&amp;"Times New Roman,обычный"&amp;9&amp;P</oddFooter>
      </headerFooter>
      <autoFilter ref="B1:GS1"/>
    </customSheetView>
    <customSheetView guid="{67AC2CBC-2876-4E14-8EE2-582C5F737BC3}" scale="115" showGridLines="0" zeroValues="0" fitToPage="1" filter="1" showAutoFilter="1" hiddenColumns="1" showRuler="0">
      <pane xSplit="9" ySplit="3" topLeftCell="J189" activePane="bottomRight" state="frozen"/>
      <selection pane="bottomRight" activeCell="AQ189" sqref="AQ189"/>
      <pageMargins left="0.19685039370078741" right="0.19685039370078741" top="0.39370078740157483" bottom="0.19685039370078741" header="0.39370078740157483" footer="0.27559055118110237"/>
      <printOptions horizontalCentered="1"/>
      <pageSetup paperSize="9" scale="15" fitToHeight="20" orientation="portrait" r:id="rId4"/>
      <headerFooter alignWithMargins="0">
        <oddFooter>&amp;L&amp;T &amp;D&amp;R&amp;"Times New Roman,обычный"&amp;9&amp;P</oddFooter>
      </headerFooter>
      <autoFilter ref="B1:GS1">
        <filterColumn colId="7">
          <filters>
            <filter val="Курганинский"/>
          </filters>
        </filterColumn>
        <filterColumn colId="9">
          <filters>
            <filter val="Содержание"/>
          </filters>
        </filterColumn>
      </autoFilter>
    </customSheetView>
    <customSheetView guid="{E031E075-6987-4F32-9116-EC6B3E9AF434}" scale="115" showPageBreaks="1" showGridLines="0" zeroValues="0" fitToPage="1" printArea="1" showAutoFilter="1" hiddenRows="1">
      <pane xSplit="9" ySplit="3" topLeftCell="BL183" activePane="bottomRight" state="frozen"/>
      <selection pane="bottomRight" activeCell="I187" sqref="I187"/>
      <pageMargins left="0.19685039370078741" right="0.19685039370078741" top="0.39370078740157483" bottom="0.19685039370078741" header="0.39370078740157483" footer="0.27559055118110237"/>
      <printOptions horizontalCentered="1"/>
      <pageSetup paperSize="9" scale="14" fitToHeight="20" orientation="portrait" r:id="rId5"/>
      <headerFooter alignWithMargins="0">
        <oddFooter>&amp;L&amp;T &amp;D&amp;R&amp;"Times New Roman,обычный"&amp;9&amp;P</oddFooter>
      </headerFooter>
      <autoFilter ref="B1:GS1"/>
    </customSheetView>
  </customSheetViews>
  <mergeCells count="15">
    <mergeCell ref="FG3:FN3"/>
    <mergeCell ref="FE1:FF1"/>
    <mergeCell ref="ET3:EX3"/>
    <mergeCell ref="ET1:EX1"/>
    <mergeCell ref="EZ1:FD1"/>
    <mergeCell ref="FE3:FF3"/>
    <mergeCell ref="EY3:FD3"/>
    <mergeCell ref="FG1:FN1"/>
    <mergeCell ref="J1:N1"/>
    <mergeCell ref="EF1:EL1"/>
    <mergeCell ref="EM3:ES3"/>
    <mergeCell ref="EM1:ES1"/>
    <mergeCell ref="EF3:EL3"/>
    <mergeCell ref="DY1:EE1"/>
    <mergeCell ref="DY3:EE3"/>
  </mergeCells>
  <phoneticPr fontId="0" type="noConversion"/>
  <conditionalFormatting sqref="CD62:DA62 CD55:CL59 BX1:CB1 BX55:CB59 DD62 DL62:DW62 CY56:DA58 DL56:DW58 DD56:DD58 DL43:DW54 DD43:DD54 DY43:FN59 DL4:DW5 DD4:DD5 DY4:FN5">
    <cfRule type="cellIs" dxfId="517" priority="17980" stopIfTrue="1" operator="greaterThanOrEqual">
      <formula>0</formula>
    </cfRule>
  </conditionalFormatting>
  <conditionalFormatting sqref="F55:F59 F5">
    <cfRule type="cellIs" dxfId="516" priority="17990" stopIfTrue="1" operator="equal">
      <formula>"да"</formula>
    </cfRule>
  </conditionalFormatting>
  <conditionalFormatting sqref="T53:T54">
    <cfRule type="cellIs" dxfId="515" priority="11715" stopIfTrue="1" operator="notEqual">
      <formula>O53+R53+S53</formula>
    </cfRule>
  </conditionalFormatting>
  <conditionalFormatting sqref="CD53:DA54 BX53:CB54">
    <cfRule type="cellIs" dxfId="514" priority="11712" stopIfTrue="1" operator="greaterThanOrEqual">
      <formula>0</formula>
    </cfRule>
  </conditionalFormatting>
  <conditionalFormatting sqref="AO53:BJ54 AJ53:AJ54 X53:Z54 AA4:AC4 AN4 AK43:AN54 AA43:AC54 AK5:AN5 AI5 U5:V5 AA5:AD5 AF4:AH54 W4">
    <cfRule type="cellIs" dxfId="513" priority="11718" stopIfTrue="1" operator="notEqual">
      <formula>ROUND(U4,0)</formula>
    </cfRule>
  </conditionalFormatting>
  <conditionalFormatting sqref="DG53:DG54">
    <cfRule type="cellIs" dxfId="512" priority="11719" stopIfTrue="1" operator="greaterThan">
      <formula>0</formula>
    </cfRule>
  </conditionalFormatting>
  <conditionalFormatting sqref="O53:O54">
    <cfRule type="cellIs" dxfId="511" priority="11711" stopIfTrue="1" operator="notEqual">
      <formula>SUM(P53:Q53)</formula>
    </cfRule>
  </conditionalFormatting>
  <conditionalFormatting sqref="AO52:AS52 AJ52 AU52:BC52 BE52:BJ52">
    <cfRule type="cellIs" dxfId="510" priority="1839" stopIfTrue="1" operator="notEqual">
      <formula>ROUND(AJ52,0)</formula>
    </cfRule>
  </conditionalFormatting>
  <conditionalFormatting sqref="T52">
    <cfRule type="cellIs" dxfId="509" priority="1832" stopIfTrue="1" operator="notEqual">
      <formula>O52+R52+S52</formula>
    </cfRule>
  </conditionalFormatting>
  <conditionalFormatting sqref="BX52:CB52 CD52:DA52">
    <cfRule type="cellIs" dxfId="508" priority="1829" stopIfTrue="1" operator="greaterThanOrEqual">
      <formula>0</formula>
    </cfRule>
  </conditionalFormatting>
  <conditionalFormatting sqref="X52:Z52">
    <cfRule type="cellIs" dxfId="507" priority="1835" stopIfTrue="1" operator="notEqual">
      <formula>ROUND(X52,0)</formula>
    </cfRule>
  </conditionalFormatting>
  <conditionalFormatting sqref="DG52">
    <cfRule type="cellIs" dxfId="506" priority="1836" stopIfTrue="1" operator="greaterThan">
      <formula>0</formula>
    </cfRule>
  </conditionalFormatting>
  <conditionalFormatting sqref="O52">
    <cfRule type="cellIs" dxfId="505" priority="1828" stopIfTrue="1" operator="notEqual">
      <formula>SUM(P52:Q52)</formula>
    </cfRule>
  </conditionalFormatting>
  <conditionalFormatting sqref="AO51:BJ51 AJ51 AT52 BD52">
    <cfRule type="cellIs" dxfId="504" priority="1822" stopIfTrue="1" operator="notEqual">
      <formula>ROUND(AJ51,0)</formula>
    </cfRule>
  </conditionalFormatting>
  <conditionalFormatting sqref="T51">
    <cfRule type="cellIs" dxfId="503" priority="1815" stopIfTrue="1" operator="notEqual">
      <formula>O51+R51+S51</formula>
    </cfRule>
  </conditionalFormatting>
  <conditionalFormatting sqref="BX51:CB51 CD51:DA51">
    <cfRule type="cellIs" dxfId="502" priority="1812" stopIfTrue="1" operator="greaterThanOrEqual">
      <formula>0</formula>
    </cfRule>
  </conditionalFormatting>
  <conditionalFormatting sqref="X51:Z51">
    <cfRule type="cellIs" dxfId="501" priority="1818" stopIfTrue="1" operator="notEqual">
      <formula>ROUND(X51,0)</formula>
    </cfRule>
  </conditionalFormatting>
  <conditionalFormatting sqref="DG51">
    <cfRule type="cellIs" dxfId="500" priority="1819" stopIfTrue="1" operator="greaterThan">
      <formula>0</formula>
    </cfRule>
  </conditionalFormatting>
  <conditionalFormatting sqref="O51">
    <cfRule type="cellIs" dxfId="499" priority="1811" stopIfTrue="1" operator="notEqual">
      <formula>SUM(P51:Q51)</formula>
    </cfRule>
  </conditionalFormatting>
  <conditionalFormatting sqref="AO46:BJ46 AJ46">
    <cfRule type="cellIs" dxfId="498" priority="1805" stopIfTrue="1" operator="notEqual">
      <formula>ROUND(AJ46,0)</formula>
    </cfRule>
  </conditionalFormatting>
  <conditionalFormatting sqref="T46">
    <cfRule type="cellIs" dxfId="497" priority="1798" stopIfTrue="1" operator="notEqual">
      <formula>O46+R46+S46</formula>
    </cfRule>
  </conditionalFormatting>
  <conditionalFormatting sqref="CD46:DA46 BX46:CB46">
    <cfRule type="cellIs" dxfId="496" priority="1795" stopIfTrue="1" operator="greaterThanOrEqual">
      <formula>0</formula>
    </cfRule>
  </conditionalFormatting>
  <conditionalFormatting sqref="X46:Z46">
    <cfRule type="cellIs" dxfId="495" priority="1801" stopIfTrue="1" operator="notEqual">
      <formula>ROUND(X46,0)</formula>
    </cfRule>
  </conditionalFormatting>
  <conditionalFormatting sqref="DG46">
    <cfRule type="cellIs" dxfId="494" priority="1802" stopIfTrue="1" operator="greaterThan">
      <formula>0</formula>
    </cfRule>
  </conditionalFormatting>
  <conditionalFormatting sqref="O46">
    <cfRule type="cellIs" dxfId="493" priority="1794" stopIfTrue="1" operator="notEqual">
      <formula>SUM(P46:Q46)</formula>
    </cfRule>
  </conditionalFormatting>
  <conditionalFormatting sqref="AI4 AI43:AI54">
    <cfRule type="cellIs" dxfId="492" priority="1775" stopIfTrue="1" operator="notEqual">
      <formula>ROUND(AI4,0)</formula>
    </cfRule>
  </conditionalFormatting>
  <conditionalFormatting sqref="AO43:BJ43 AJ43">
    <cfRule type="cellIs" dxfId="491" priority="1759" stopIfTrue="1" operator="notEqual">
      <formula>ROUND(AJ43,0)</formula>
    </cfRule>
  </conditionalFormatting>
  <conditionalFormatting sqref="T43">
    <cfRule type="cellIs" dxfId="490" priority="1752" stopIfTrue="1" operator="notEqual">
      <formula>O43+R43+S43</formula>
    </cfRule>
  </conditionalFormatting>
  <conditionalFormatting sqref="CD43:DA43 BX43:CB43">
    <cfRule type="cellIs" dxfId="489" priority="1749" stopIfTrue="1" operator="greaterThanOrEqual">
      <formula>0</formula>
    </cfRule>
  </conditionalFormatting>
  <conditionalFormatting sqref="X43:Z43">
    <cfRule type="cellIs" dxfId="488" priority="1755" stopIfTrue="1" operator="notEqual">
      <formula>ROUND(X43,0)</formula>
    </cfRule>
  </conditionalFormatting>
  <conditionalFormatting sqref="DG43">
    <cfRule type="cellIs" dxfId="487" priority="1756" stopIfTrue="1" operator="greaterThan">
      <formula>0</formula>
    </cfRule>
  </conditionalFormatting>
  <conditionalFormatting sqref="O43">
    <cfRule type="cellIs" dxfId="486" priority="1748" stopIfTrue="1" operator="notEqual">
      <formula>SUM(P43:Q43)</formula>
    </cfRule>
  </conditionalFormatting>
  <conditionalFormatting sqref="AO4:BJ4 AJ4">
    <cfRule type="cellIs" dxfId="485" priority="1746" stopIfTrue="1" operator="notEqual">
      <formula>ROUND(AJ4,0)</formula>
    </cfRule>
  </conditionalFormatting>
  <conditionalFormatting sqref="T4">
    <cfRule type="cellIs" dxfId="484" priority="1739" stopIfTrue="1" operator="notEqual">
      <formula>O4+R4+S4</formula>
    </cfRule>
  </conditionalFormatting>
  <conditionalFormatting sqref="BX4:CB4">
    <cfRule type="cellIs" dxfId="483" priority="1736" stopIfTrue="1" operator="greaterThanOrEqual">
      <formula>0</formula>
    </cfRule>
  </conditionalFormatting>
  <conditionalFormatting sqref="U43:W54 U4:V4 X4:Z4">
    <cfRule type="cellIs" dxfId="482" priority="1742" stopIfTrue="1" operator="notEqual">
      <formula>ROUND(U4,0)</formula>
    </cfRule>
  </conditionalFormatting>
  <conditionalFormatting sqref="DG4">
    <cfRule type="cellIs" dxfId="481" priority="1743" stopIfTrue="1" operator="greaterThan">
      <formula>0</formula>
    </cfRule>
  </conditionalFormatting>
  <conditionalFormatting sqref="O4">
    <cfRule type="cellIs" dxfId="480" priority="1735" stopIfTrue="1" operator="notEqual">
      <formula>SUM(P4:Q4)</formula>
    </cfRule>
  </conditionalFormatting>
  <conditionalFormatting sqref="AO44:BJ44 AJ44">
    <cfRule type="cellIs" dxfId="479" priority="1731" stopIfTrue="1" operator="notEqual">
      <formula>ROUND(AJ44,0)</formula>
    </cfRule>
  </conditionalFormatting>
  <conditionalFormatting sqref="T44">
    <cfRule type="cellIs" dxfId="478" priority="1724" stopIfTrue="1" operator="notEqual">
      <formula>O44+R44+S44</formula>
    </cfRule>
  </conditionalFormatting>
  <conditionalFormatting sqref="BX44:CB44 CD44:DA44">
    <cfRule type="cellIs" dxfId="477" priority="1721" stopIfTrue="1" operator="greaterThanOrEqual">
      <formula>0</formula>
    </cfRule>
  </conditionalFormatting>
  <conditionalFormatting sqref="X44:Z44">
    <cfRule type="cellIs" dxfId="476" priority="1727" stopIfTrue="1" operator="notEqual">
      <formula>ROUND(X44,0)</formula>
    </cfRule>
  </conditionalFormatting>
  <conditionalFormatting sqref="DG44">
    <cfRule type="cellIs" dxfId="475" priority="1728" stopIfTrue="1" operator="greaterThan">
      <formula>0</formula>
    </cfRule>
  </conditionalFormatting>
  <conditionalFormatting sqref="O44">
    <cfRule type="cellIs" dxfId="474" priority="1720" stopIfTrue="1" operator="notEqual">
      <formula>SUM(P44:Q44)</formula>
    </cfRule>
  </conditionalFormatting>
  <conditionalFormatting sqref="AO45:BJ45 AJ45">
    <cfRule type="cellIs" dxfId="473" priority="1717" stopIfTrue="1" operator="notEqual">
      <formula>ROUND(AJ45,0)</formula>
    </cfRule>
  </conditionalFormatting>
  <conditionalFormatting sqref="T45">
    <cfRule type="cellIs" dxfId="472" priority="1710" stopIfTrue="1" operator="notEqual">
      <formula>O45+R45+S45</formula>
    </cfRule>
  </conditionalFormatting>
  <conditionalFormatting sqref="BX45:CB45 CD45:DA45">
    <cfRule type="cellIs" dxfId="471" priority="1707" stopIfTrue="1" operator="greaterThanOrEqual">
      <formula>0</formula>
    </cfRule>
  </conditionalFormatting>
  <conditionalFormatting sqref="X45:Z45">
    <cfRule type="cellIs" dxfId="470" priority="1713" stopIfTrue="1" operator="notEqual">
      <formula>ROUND(X45,0)</formula>
    </cfRule>
  </conditionalFormatting>
  <conditionalFormatting sqref="DG45">
    <cfRule type="cellIs" dxfId="469" priority="1714" stopIfTrue="1" operator="greaterThan">
      <formula>0</formula>
    </cfRule>
  </conditionalFormatting>
  <conditionalFormatting sqref="O45">
    <cfRule type="cellIs" dxfId="468" priority="1706" stopIfTrue="1" operator="notEqual">
      <formula>SUM(P45:Q45)</formula>
    </cfRule>
  </conditionalFormatting>
  <conditionalFormatting sqref="AO47:BJ48 AJ47:AJ48">
    <cfRule type="cellIs" dxfId="467" priority="1700" stopIfTrue="1" operator="notEqual">
      <formula>ROUND(AJ47,0)</formula>
    </cfRule>
  </conditionalFormatting>
  <conditionalFormatting sqref="T47:T48">
    <cfRule type="cellIs" dxfId="466" priority="1693" stopIfTrue="1" operator="notEqual">
      <formula>O47+R47+S47</formula>
    </cfRule>
  </conditionalFormatting>
  <conditionalFormatting sqref="BX47:CB48 CD47:DA48">
    <cfRule type="cellIs" dxfId="465" priority="1690" stopIfTrue="1" operator="greaterThanOrEqual">
      <formula>0</formula>
    </cfRule>
  </conditionalFormatting>
  <conditionalFormatting sqref="X47:Z48">
    <cfRule type="cellIs" dxfId="464" priority="1696" stopIfTrue="1" operator="notEqual">
      <formula>ROUND(X47,0)</formula>
    </cfRule>
  </conditionalFormatting>
  <conditionalFormatting sqref="DG47:DG48">
    <cfRule type="cellIs" dxfId="463" priority="1697" stopIfTrue="1" operator="greaterThan">
      <formula>0</formula>
    </cfRule>
  </conditionalFormatting>
  <conditionalFormatting sqref="O47:O48">
    <cfRule type="cellIs" dxfId="462" priority="1689" stopIfTrue="1" operator="notEqual">
      <formula>SUM(P47:Q47)</formula>
    </cfRule>
  </conditionalFormatting>
  <conditionalFormatting sqref="AO49:BJ50 AJ49:AJ50">
    <cfRule type="cellIs" dxfId="461" priority="1685" stopIfTrue="1" operator="notEqual">
      <formula>ROUND(AJ49,0)</formula>
    </cfRule>
  </conditionalFormatting>
  <conditionalFormatting sqref="T49:T50">
    <cfRule type="cellIs" dxfId="460" priority="1678" stopIfTrue="1" operator="notEqual">
      <formula>O49+R49+S49</formula>
    </cfRule>
  </conditionalFormatting>
  <conditionalFormatting sqref="BX49:CB50 CD49:DA50">
    <cfRule type="cellIs" dxfId="459" priority="1675" stopIfTrue="1" operator="greaterThanOrEqual">
      <formula>0</formula>
    </cfRule>
  </conditionalFormatting>
  <conditionalFormatting sqref="X49:Z50">
    <cfRule type="cellIs" dxfId="458" priority="1681" stopIfTrue="1" operator="notEqual">
      <formula>ROUND(X49,0)</formula>
    </cfRule>
  </conditionalFormatting>
  <conditionalFormatting sqref="DG49:DG50">
    <cfRule type="cellIs" dxfId="457" priority="1682" stopIfTrue="1" operator="greaterThan">
      <formula>0</formula>
    </cfRule>
  </conditionalFormatting>
  <conditionalFormatting sqref="F43:F54">
    <cfRule type="cellIs" dxfId="456" priority="1683" stopIfTrue="1" operator="equal">
      <formula>"да"</formula>
    </cfRule>
  </conditionalFormatting>
  <conditionalFormatting sqref="O49:O50">
    <cfRule type="cellIs" dxfId="455" priority="1674" stopIfTrue="1" operator="notEqual">
      <formula>SUM(P49:Q49)</formula>
    </cfRule>
  </conditionalFormatting>
  <conditionalFormatting sqref="AD4 AD54:AE54 AD43:AD53">
    <cfRule type="cellIs" dxfId="454" priority="1658" stopIfTrue="1" operator="notEqual">
      <formula>ROUND(AD4,0)</formula>
    </cfRule>
  </conditionalFormatting>
  <conditionalFormatting sqref="G43:G54">
    <cfRule type="expression" dxfId="453" priority="18148" stopIfTrue="1">
      <formula>G43&lt;&gt;#REF!</formula>
    </cfRule>
  </conditionalFormatting>
  <conditionalFormatting sqref="DL41:DW42 DD41:DD42 DY41:FN42">
    <cfRule type="cellIs" dxfId="452" priority="1655" stopIfTrue="1" operator="greaterThanOrEqual">
      <formula>0</formula>
    </cfRule>
  </conditionalFormatting>
  <conditionalFormatting sqref="AK4:AM4 AK41:AN42 AA41:AC42">
    <cfRule type="cellIs" dxfId="451" priority="1654" stopIfTrue="1" operator="notEqual">
      <formula>ROUND(AA4,0)</formula>
    </cfRule>
  </conditionalFormatting>
  <conditionalFormatting sqref="AO42:AS42 BE42:BJ42 AU42:BC42">
    <cfRule type="cellIs" dxfId="450" priority="1653" stopIfTrue="1" operator="notEqual">
      <formula>ROUND(AO42,0)</formula>
    </cfRule>
  </conditionalFormatting>
  <conditionalFormatting sqref="T42">
    <cfRule type="cellIs" dxfId="449" priority="1650" stopIfTrue="1" operator="notEqual">
      <formula>O42+R42+S42</formula>
    </cfRule>
  </conditionalFormatting>
  <conditionalFormatting sqref="BX42:CB42 CD42:DA42">
    <cfRule type="cellIs" dxfId="448" priority="1649" stopIfTrue="1" operator="greaterThanOrEqual">
      <formula>0</formula>
    </cfRule>
  </conditionalFormatting>
  <conditionalFormatting sqref="X42:Z42">
    <cfRule type="cellIs" dxfId="447" priority="1651" stopIfTrue="1" operator="notEqual">
      <formula>ROUND(X42,0)</formula>
    </cfRule>
  </conditionalFormatting>
  <conditionalFormatting sqref="DG42">
    <cfRule type="cellIs" dxfId="446" priority="1652" stopIfTrue="1" operator="greaterThan">
      <formula>0</formula>
    </cfRule>
  </conditionalFormatting>
  <conditionalFormatting sqref="O42">
    <cfRule type="cellIs" dxfId="445" priority="1648" stopIfTrue="1" operator="notEqual">
      <formula>SUM(P42:Q42)</formula>
    </cfRule>
  </conditionalFormatting>
  <conditionalFormatting sqref="AO41:BJ41 BD42 AT42">
    <cfRule type="cellIs" dxfId="444" priority="1647" stopIfTrue="1" operator="notEqual">
      <formula>ROUND(AO41,0)</formula>
    </cfRule>
  </conditionalFormatting>
  <conditionalFormatting sqref="T41">
    <cfRule type="cellIs" dxfId="443" priority="1644" stopIfTrue="1" operator="notEqual">
      <formula>O41+R41+S41</formula>
    </cfRule>
  </conditionalFormatting>
  <conditionalFormatting sqref="BX41:CB41 CD41:DA41">
    <cfRule type="cellIs" dxfId="442" priority="1643" stopIfTrue="1" operator="greaterThanOrEqual">
      <formula>0</formula>
    </cfRule>
  </conditionalFormatting>
  <conditionalFormatting sqref="X41:Z41">
    <cfRule type="cellIs" dxfId="441" priority="1645" stopIfTrue="1" operator="notEqual">
      <formula>ROUND(X41,0)</formula>
    </cfRule>
  </conditionalFormatting>
  <conditionalFormatting sqref="DG41">
    <cfRule type="cellIs" dxfId="440" priority="1646" stopIfTrue="1" operator="greaterThan">
      <formula>0</formula>
    </cfRule>
  </conditionalFormatting>
  <conditionalFormatting sqref="O41">
    <cfRule type="cellIs" dxfId="439" priority="1642" stopIfTrue="1" operator="notEqual">
      <formula>SUM(P41:Q41)</formula>
    </cfRule>
  </conditionalFormatting>
  <conditionalFormatting sqref="AI41:AI42">
    <cfRule type="cellIs" dxfId="438" priority="1635" stopIfTrue="1" operator="notEqual">
      <formula>ROUND(AI41,0)</formula>
    </cfRule>
  </conditionalFormatting>
  <conditionalFormatting sqref="U41:W42">
    <cfRule type="cellIs" dxfId="437" priority="1628" stopIfTrue="1" operator="notEqual">
      <formula>ROUND(U41,0)</formula>
    </cfRule>
  </conditionalFormatting>
  <conditionalFormatting sqref="AJ41:AJ42">
    <cfRule type="cellIs" dxfId="436" priority="1609" stopIfTrue="1" operator="notEqual">
      <formula>ROUND(AJ41,0)</formula>
    </cfRule>
  </conditionalFormatting>
  <conditionalFormatting sqref="F41:F42">
    <cfRule type="cellIs" dxfId="435" priority="1608" stopIfTrue="1" operator="equal">
      <formula>"да"</formula>
    </cfRule>
  </conditionalFormatting>
  <conditionalFormatting sqref="AD41:AD42">
    <cfRule type="cellIs" dxfId="434" priority="1602" stopIfTrue="1" operator="notEqual">
      <formula>ROUND(AD41,0)</formula>
    </cfRule>
  </conditionalFormatting>
  <conditionalFormatting sqref="G41:G42">
    <cfRule type="expression" dxfId="433" priority="1656" stopIfTrue="1">
      <formula>G41&lt;&gt;#REF!</formula>
    </cfRule>
  </conditionalFormatting>
  <conditionalFormatting sqref="DB62:DC62 DB56:DC58">
    <cfRule type="cellIs" dxfId="432" priority="1495" stopIfTrue="1" operator="greaterThanOrEqual">
      <formula>0</formula>
    </cfRule>
  </conditionalFormatting>
  <conditionalFormatting sqref="DB53:DC54">
    <cfRule type="cellIs" dxfId="431" priority="1494" stopIfTrue="1" operator="greaterThanOrEqual">
      <formula>0</formula>
    </cfRule>
  </conditionalFormatting>
  <conditionalFormatting sqref="DB52:DC52">
    <cfRule type="cellIs" dxfId="430" priority="1493" stopIfTrue="1" operator="greaterThanOrEqual">
      <formula>0</formula>
    </cfRule>
  </conditionalFormatting>
  <conditionalFormatting sqref="DB51:DC51">
    <cfRule type="cellIs" dxfId="429" priority="1492" stopIfTrue="1" operator="greaterThanOrEqual">
      <formula>0</formula>
    </cfRule>
  </conditionalFormatting>
  <conditionalFormatting sqref="DB46:DC46">
    <cfRule type="cellIs" dxfId="428" priority="1491" stopIfTrue="1" operator="greaterThanOrEqual">
      <formula>0</formula>
    </cfRule>
  </conditionalFormatting>
  <conditionalFormatting sqref="DB43:DC43">
    <cfRule type="cellIs" dxfId="427" priority="1490" stopIfTrue="1" operator="greaterThanOrEqual">
      <formula>0</formula>
    </cfRule>
  </conditionalFormatting>
  <conditionalFormatting sqref="DB44:DC44">
    <cfRule type="cellIs" dxfId="426" priority="1488" stopIfTrue="1" operator="greaterThanOrEqual">
      <formula>0</formula>
    </cfRule>
  </conditionalFormatting>
  <conditionalFormatting sqref="DB45:DC45">
    <cfRule type="cellIs" dxfId="425" priority="1487" stopIfTrue="1" operator="greaterThanOrEqual">
      <formula>0</formula>
    </cfRule>
  </conditionalFormatting>
  <conditionalFormatting sqref="DB47:DC48">
    <cfRule type="cellIs" dxfId="424" priority="1486" stopIfTrue="1" operator="greaterThanOrEqual">
      <formula>0</formula>
    </cfRule>
  </conditionalFormatting>
  <conditionalFormatting sqref="DB49:DC50">
    <cfRule type="cellIs" dxfId="423" priority="1485" stopIfTrue="1" operator="greaterThanOrEqual">
      <formula>0</formula>
    </cfRule>
  </conditionalFormatting>
  <conditionalFormatting sqref="DB42:DC42">
    <cfRule type="cellIs" dxfId="422" priority="1484" stopIfTrue="1" operator="greaterThanOrEqual">
      <formula>0</formula>
    </cfRule>
  </conditionalFormatting>
  <conditionalFormatting sqref="DB41:DC41">
    <cfRule type="cellIs" dxfId="421" priority="1483" stopIfTrue="1" operator="greaterThanOrEqual">
      <formula>0</formula>
    </cfRule>
  </conditionalFormatting>
  <conditionalFormatting sqref="F4">
    <cfRule type="cellIs" dxfId="420" priority="1461" stopIfTrue="1" operator="equal">
      <formula>"да"</formula>
    </cfRule>
  </conditionalFormatting>
  <conditionalFormatting sqref="DL31:DW40 DD31:DD40 DY31:FN40">
    <cfRule type="cellIs" dxfId="419" priority="1459" stopIfTrue="1" operator="greaterThanOrEqual">
      <formula>0</formula>
    </cfRule>
  </conditionalFormatting>
  <conditionalFormatting sqref="AK31:AN40 AA31:AC40">
    <cfRule type="cellIs" dxfId="418" priority="1458" stopIfTrue="1" operator="notEqual">
      <formula>ROUND(AA31,0)</formula>
    </cfRule>
  </conditionalFormatting>
  <conditionalFormatting sqref="AO40:AS40 AJ40 AU40:BC40 BE40:BJ40">
    <cfRule type="cellIs" dxfId="417" priority="1457" stopIfTrue="1" operator="notEqual">
      <formula>ROUND(AJ40,0)</formula>
    </cfRule>
  </conditionalFormatting>
  <conditionalFormatting sqref="T40">
    <cfRule type="cellIs" dxfId="416" priority="1454" stopIfTrue="1" operator="notEqual">
      <formula>O40+R40+S40</formula>
    </cfRule>
  </conditionalFormatting>
  <conditionalFormatting sqref="BX40:CB40 CD40:DA40">
    <cfRule type="cellIs" dxfId="415" priority="1453" stopIfTrue="1" operator="greaterThanOrEqual">
      <formula>0</formula>
    </cfRule>
  </conditionalFormatting>
  <conditionalFormatting sqref="X40:Z40">
    <cfRule type="cellIs" dxfId="414" priority="1455" stopIfTrue="1" operator="notEqual">
      <formula>ROUND(X40,0)</formula>
    </cfRule>
  </conditionalFormatting>
  <conditionalFormatting sqref="DG40">
    <cfRule type="cellIs" dxfId="413" priority="1456" stopIfTrue="1" operator="greaterThan">
      <formula>0</formula>
    </cfRule>
  </conditionalFormatting>
  <conditionalFormatting sqref="O40">
    <cfRule type="cellIs" dxfId="412" priority="1452" stopIfTrue="1" operator="notEqual">
      <formula>SUM(P40:Q40)</formula>
    </cfRule>
  </conditionalFormatting>
  <conditionalFormatting sqref="AO39:BJ39 AJ39 AT40 BD40">
    <cfRule type="cellIs" dxfId="411" priority="1451" stopIfTrue="1" operator="notEqual">
      <formula>ROUND(AJ39,0)</formula>
    </cfRule>
  </conditionalFormatting>
  <conditionalFormatting sqref="T39">
    <cfRule type="cellIs" dxfId="410" priority="1448" stopIfTrue="1" operator="notEqual">
      <formula>O39+R39+S39</formula>
    </cfRule>
  </conditionalFormatting>
  <conditionalFormatting sqref="BX39:CB39 CD39:DA39">
    <cfRule type="cellIs" dxfId="409" priority="1447" stopIfTrue="1" operator="greaterThanOrEqual">
      <formula>0</formula>
    </cfRule>
  </conditionalFormatting>
  <conditionalFormatting sqref="X39:Z39">
    <cfRule type="cellIs" dxfId="408" priority="1449" stopIfTrue="1" operator="notEqual">
      <formula>ROUND(X39,0)</formula>
    </cfRule>
  </conditionalFormatting>
  <conditionalFormatting sqref="DG39">
    <cfRule type="cellIs" dxfId="407" priority="1450" stopIfTrue="1" operator="greaterThan">
      <formula>0</formula>
    </cfRule>
  </conditionalFormatting>
  <conditionalFormatting sqref="O39">
    <cfRule type="cellIs" dxfId="406" priority="1446" stopIfTrue="1" operator="notEqual">
      <formula>SUM(P39:Q39)</formula>
    </cfRule>
  </conditionalFormatting>
  <conditionalFormatting sqref="AO34:BJ34 AJ34">
    <cfRule type="cellIs" dxfId="405" priority="1445" stopIfTrue="1" operator="notEqual">
      <formula>ROUND(AJ34,0)</formula>
    </cfRule>
  </conditionalFormatting>
  <conditionalFormatting sqref="T34">
    <cfRule type="cellIs" dxfId="404" priority="1442" stopIfTrue="1" operator="notEqual">
      <formula>O34+R34+S34</formula>
    </cfRule>
  </conditionalFormatting>
  <conditionalFormatting sqref="CD34:DA34 BX34:CB34">
    <cfRule type="cellIs" dxfId="403" priority="1441" stopIfTrue="1" operator="greaterThanOrEqual">
      <formula>0</formula>
    </cfRule>
  </conditionalFormatting>
  <conditionalFormatting sqref="X34:Z34">
    <cfRule type="cellIs" dxfId="402" priority="1443" stopIfTrue="1" operator="notEqual">
      <formula>ROUND(X34,0)</formula>
    </cfRule>
  </conditionalFormatting>
  <conditionalFormatting sqref="DG34">
    <cfRule type="cellIs" dxfId="401" priority="1444" stopIfTrue="1" operator="greaterThan">
      <formula>0</formula>
    </cfRule>
  </conditionalFormatting>
  <conditionalFormatting sqref="O34">
    <cfRule type="cellIs" dxfId="400" priority="1440" stopIfTrue="1" operator="notEqual">
      <formula>SUM(P34:Q34)</formula>
    </cfRule>
  </conditionalFormatting>
  <conditionalFormatting sqref="AI31:AI40">
    <cfRule type="cellIs" dxfId="399" priority="1439" stopIfTrue="1" operator="notEqual">
      <formula>ROUND(AI31,0)</formula>
    </cfRule>
  </conditionalFormatting>
  <conditionalFormatting sqref="AO31:BJ31 AJ31">
    <cfRule type="cellIs" dxfId="398" priority="1438" stopIfTrue="1" operator="notEqual">
      <formula>ROUND(AJ31,0)</formula>
    </cfRule>
  </conditionalFormatting>
  <conditionalFormatting sqref="T31">
    <cfRule type="cellIs" dxfId="397" priority="1435" stopIfTrue="1" operator="notEqual">
      <formula>O31+R31+S31</formula>
    </cfRule>
  </conditionalFormatting>
  <conditionalFormatting sqref="CD31:DA31 BX31:CB31">
    <cfRule type="cellIs" dxfId="396" priority="1434" stopIfTrue="1" operator="greaterThanOrEqual">
      <formula>0</formula>
    </cfRule>
  </conditionalFormatting>
  <conditionalFormatting sqref="X31:Z31">
    <cfRule type="cellIs" dxfId="395" priority="1436" stopIfTrue="1" operator="notEqual">
      <formula>ROUND(X31,0)</formula>
    </cfRule>
  </conditionalFormatting>
  <conditionalFormatting sqref="DG31">
    <cfRule type="cellIs" dxfId="394" priority="1437" stopIfTrue="1" operator="greaterThan">
      <formula>0</formula>
    </cfRule>
  </conditionalFormatting>
  <conditionalFormatting sqref="O31">
    <cfRule type="cellIs" dxfId="393" priority="1433" stopIfTrue="1" operator="notEqual">
      <formula>SUM(P31:Q31)</formula>
    </cfRule>
  </conditionalFormatting>
  <conditionalFormatting sqref="U31:W40">
    <cfRule type="cellIs" dxfId="392" priority="1432" stopIfTrue="1" operator="notEqual">
      <formula>ROUND(U31,0)</formula>
    </cfRule>
  </conditionalFormatting>
  <conditionalFormatting sqref="AO32:BJ32 AJ32">
    <cfRule type="cellIs" dxfId="391" priority="1431" stopIfTrue="1" operator="notEqual">
      <formula>ROUND(AJ32,0)</formula>
    </cfRule>
  </conditionalFormatting>
  <conditionalFormatting sqref="T32">
    <cfRule type="cellIs" dxfId="390" priority="1428" stopIfTrue="1" operator="notEqual">
      <formula>O32+R32+S32</formula>
    </cfRule>
  </conditionalFormatting>
  <conditionalFormatting sqref="BX32:CB32 CD32:DA32">
    <cfRule type="cellIs" dxfId="389" priority="1427" stopIfTrue="1" operator="greaterThanOrEqual">
      <formula>0</formula>
    </cfRule>
  </conditionalFormatting>
  <conditionalFormatting sqref="X32:Z32">
    <cfRule type="cellIs" dxfId="388" priority="1429" stopIfTrue="1" operator="notEqual">
      <formula>ROUND(X32,0)</formula>
    </cfRule>
  </conditionalFormatting>
  <conditionalFormatting sqref="DG32">
    <cfRule type="cellIs" dxfId="387" priority="1430" stopIfTrue="1" operator="greaterThan">
      <formula>0</formula>
    </cfRule>
  </conditionalFormatting>
  <conditionalFormatting sqref="O32">
    <cfRule type="cellIs" dxfId="386" priority="1426" stopIfTrue="1" operator="notEqual">
      <formula>SUM(P32:Q32)</formula>
    </cfRule>
  </conditionalFormatting>
  <conditionalFormatting sqref="AO33:BJ33 AJ33">
    <cfRule type="cellIs" dxfId="385" priority="1425" stopIfTrue="1" operator="notEqual">
      <formula>ROUND(AJ33,0)</formula>
    </cfRule>
  </conditionalFormatting>
  <conditionalFormatting sqref="T33">
    <cfRule type="cellIs" dxfId="384" priority="1422" stopIfTrue="1" operator="notEqual">
      <formula>O33+R33+S33</formula>
    </cfRule>
  </conditionalFormatting>
  <conditionalFormatting sqref="BX33:CB33 CD33:DA33">
    <cfRule type="cellIs" dxfId="383" priority="1421" stopIfTrue="1" operator="greaterThanOrEqual">
      <formula>0</formula>
    </cfRule>
  </conditionalFormatting>
  <conditionalFormatting sqref="X33:Z33">
    <cfRule type="cellIs" dxfId="382" priority="1423" stopIfTrue="1" operator="notEqual">
      <formula>ROUND(X33,0)</formula>
    </cfRule>
  </conditionalFormatting>
  <conditionalFormatting sqref="DG33">
    <cfRule type="cellIs" dxfId="381" priority="1424" stopIfTrue="1" operator="greaterThan">
      <formula>0</formula>
    </cfRule>
  </conditionalFormatting>
  <conditionalFormatting sqref="O33">
    <cfRule type="cellIs" dxfId="380" priority="1420" stopIfTrue="1" operator="notEqual">
      <formula>SUM(P33:Q33)</formula>
    </cfRule>
  </conditionalFormatting>
  <conditionalFormatting sqref="AO35:BJ36 AJ35:AJ36">
    <cfRule type="cellIs" dxfId="379" priority="1419" stopIfTrue="1" operator="notEqual">
      <formula>ROUND(AJ35,0)</formula>
    </cfRule>
  </conditionalFormatting>
  <conditionalFormatting sqref="T35:T36">
    <cfRule type="cellIs" dxfId="378" priority="1416" stopIfTrue="1" operator="notEqual">
      <formula>O35+R35+S35</formula>
    </cfRule>
  </conditionalFormatting>
  <conditionalFormatting sqref="BX35:CB36 CD35:DA36">
    <cfRule type="cellIs" dxfId="377" priority="1415" stopIfTrue="1" operator="greaterThanOrEqual">
      <formula>0</formula>
    </cfRule>
  </conditionalFormatting>
  <conditionalFormatting sqref="X35:Z36">
    <cfRule type="cellIs" dxfId="376" priority="1417" stopIfTrue="1" operator="notEqual">
      <formula>ROUND(X35,0)</formula>
    </cfRule>
  </conditionalFormatting>
  <conditionalFormatting sqref="DG35:DG36">
    <cfRule type="cellIs" dxfId="375" priority="1418" stopIfTrue="1" operator="greaterThan">
      <formula>0</formula>
    </cfRule>
  </conditionalFormatting>
  <conditionalFormatting sqref="O35:O36">
    <cfRule type="cellIs" dxfId="374" priority="1414" stopIfTrue="1" operator="notEqual">
      <formula>SUM(P35:Q35)</formula>
    </cfRule>
  </conditionalFormatting>
  <conditionalFormatting sqref="AO37:BJ38 AJ37:AJ38">
    <cfRule type="cellIs" dxfId="373" priority="1413" stopIfTrue="1" operator="notEqual">
      <formula>ROUND(AJ37,0)</formula>
    </cfRule>
  </conditionalFormatting>
  <conditionalFormatting sqref="T37:T38">
    <cfRule type="cellIs" dxfId="372" priority="1409" stopIfTrue="1" operator="notEqual">
      <formula>O37+R37+S37</formula>
    </cfRule>
  </conditionalFormatting>
  <conditionalFormatting sqref="BX37:CB38 CD37:DA38">
    <cfRule type="cellIs" dxfId="371" priority="1408" stopIfTrue="1" operator="greaterThanOrEqual">
      <formula>0</formula>
    </cfRule>
  </conditionalFormatting>
  <conditionalFormatting sqref="X37:Z38">
    <cfRule type="cellIs" dxfId="370" priority="1410" stopIfTrue="1" operator="notEqual">
      <formula>ROUND(X37,0)</formula>
    </cfRule>
  </conditionalFormatting>
  <conditionalFormatting sqref="DG37:DG38">
    <cfRule type="cellIs" dxfId="369" priority="1411" stopIfTrue="1" operator="greaterThan">
      <formula>0</formula>
    </cfRule>
  </conditionalFormatting>
  <conditionalFormatting sqref="F31:F40">
    <cfRule type="cellIs" dxfId="368" priority="1412" stopIfTrue="1" operator="equal">
      <formula>"да"</formula>
    </cfRule>
  </conditionalFormatting>
  <conditionalFormatting sqref="O37:O38">
    <cfRule type="cellIs" dxfId="367" priority="1407" stopIfTrue="1" operator="notEqual">
      <formula>SUM(P37:Q37)</formula>
    </cfRule>
  </conditionalFormatting>
  <conditionalFormatting sqref="AD31:AD40">
    <cfRule type="cellIs" dxfId="366" priority="1406" stopIfTrue="1" operator="notEqual">
      <formula>ROUND(AD31,0)</formula>
    </cfRule>
  </conditionalFormatting>
  <conditionalFormatting sqref="G31:G40">
    <cfRule type="expression" dxfId="365" priority="1460" stopIfTrue="1">
      <formula>G31&lt;&gt;#REF!</formula>
    </cfRule>
  </conditionalFormatting>
  <conditionalFormatting sqref="DL6:DW6 DD6 DY6:FN6 DY30:FN30 DD30 DL30:DW30">
    <cfRule type="cellIs" dxfId="364" priority="1404" stopIfTrue="1" operator="greaterThanOrEqual">
      <formula>0</formula>
    </cfRule>
  </conditionalFormatting>
  <conditionalFormatting sqref="AK6:AN6 AA6:AC6 AA30:AC30 AK30:AN30">
    <cfRule type="cellIs" dxfId="363" priority="1403" stopIfTrue="1" operator="notEqual">
      <formula>ROUND(AA6,0)</formula>
    </cfRule>
  </conditionalFormatting>
  <conditionalFormatting sqref="AO30:AS30 BE30:BJ30 AU30:BC30">
    <cfRule type="cellIs" dxfId="362" priority="1402" stopIfTrue="1" operator="notEqual">
      <formula>ROUND(AO30,0)</formula>
    </cfRule>
  </conditionalFormatting>
  <conditionalFormatting sqref="T30">
    <cfRule type="cellIs" dxfId="361" priority="1399" stopIfTrue="1" operator="notEqual">
      <formula>O30+R30+S30</formula>
    </cfRule>
  </conditionalFormatting>
  <conditionalFormatting sqref="BX30:CB30 CD30:DA30">
    <cfRule type="cellIs" dxfId="360" priority="1398" stopIfTrue="1" operator="greaterThanOrEqual">
      <formula>0</formula>
    </cfRule>
  </conditionalFormatting>
  <conditionalFormatting sqref="X30:Z30">
    <cfRule type="cellIs" dxfId="359" priority="1400" stopIfTrue="1" operator="notEqual">
      <formula>ROUND(X30,0)</formula>
    </cfRule>
  </conditionalFormatting>
  <conditionalFormatting sqref="DG30">
    <cfRule type="cellIs" dxfId="358" priority="1401" stopIfTrue="1" operator="greaterThan">
      <formula>0</formula>
    </cfRule>
  </conditionalFormatting>
  <conditionalFormatting sqref="O30">
    <cfRule type="cellIs" dxfId="357" priority="1397" stopIfTrue="1" operator="notEqual">
      <formula>SUM(P30:Q30)</formula>
    </cfRule>
  </conditionalFormatting>
  <conditionalFormatting sqref="AO6:BJ6 BD30 AT30">
    <cfRule type="cellIs" dxfId="356" priority="1396" stopIfTrue="1" operator="notEqual">
      <formula>ROUND(AO6,0)</formula>
    </cfRule>
  </conditionalFormatting>
  <conditionalFormatting sqref="T6">
    <cfRule type="cellIs" dxfId="355" priority="1393" stopIfTrue="1" operator="notEqual">
      <formula>O6+R6+S6</formula>
    </cfRule>
  </conditionalFormatting>
  <conditionalFormatting sqref="BX6:CB6">
    <cfRule type="cellIs" dxfId="354" priority="1392" stopIfTrue="1" operator="greaterThanOrEqual">
      <formula>0</formula>
    </cfRule>
  </conditionalFormatting>
  <conditionalFormatting sqref="X6:Z6">
    <cfRule type="cellIs" dxfId="353" priority="1394" stopIfTrue="1" operator="notEqual">
      <formula>ROUND(X6,0)</formula>
    </cfRule>
  </conditionalFormatting>
  <conditionalFormatting sqref="DG6">
    <cfRule type="cellIs" dxfId="352" priority="1395" stopIfTrue="1" operator="greaterThan">
      <formula>0</formula>
    </cfRule>
  </conditionalFormatting>
  <conditionalFormatting sqref="O6">
    <cfRule type="cellIs" dxfId="351" priority="1391" stopIfTrue="1" operator="notEqual">
      <formula>SUM(P6:Q6)</formula>
    </cfRule>
  </conditionalFormatting>
  <conditionalFormatting sqref="AI6 AI30">
    <cfRule type="cellIs" dxfId="350" priority="1390" stopIfTrue="1" operator="notEqual">
      <formula>ROUND(AI6,0)</formula>
    </cfRule>
  </conditionalFormatting>
  <conditionalFormatting sqref="U6:W6 U30:W30 W5">
    <cfRule type="cellIs" dxfId="349" priority="1389" stopIfTrue="1" operator="notEqual">
      <formula>ROUND(U5,0)</formula>
    </cfRule>
  </conditionalFormatting>
  <conditionalFormatting sqref="AJ6 AJ30">
    <cfRule type="cellIs" dxfId="348" priority="1388" stopIfTrue="1" operator="notEqual">
      <formula>ROUND(AJ6,0)</formula>
    </cfRule>
  </conditionalFormatting>
  <conditionalFormatting sqref="F6 F30">
    <cfRule type="cellIs" dxfId="347" priority="1387" stopIfTrue="1" operator="equal">
      <formula>"да"</formula>
    </cfRule>
  </conditionalFormatting>
  <conditionalFormatting sqref="AD6 AD30">
    <cfRule type="cellIs" dxfId="346" priority="1386" stopIfTrue="1" operator="notEqual">
      <formula>ROUND(AD6,0)</formula>
    </cfRule>
  </conditionalFormatting>
  <conditionalFormatting sqref="G30">
    <cfRule type="expression" dxfId="345" priority="1405" stopIfTrue="1">
      <formula>G30&lt;&gt;#REF!</formula>
    </cfRule>
  </conditionalFormatting>
  <conditionalFormatting sqref="DB40:DC40">
    <cfRule type="cellIs" dxfId="344" priority="1385" stopIfTrue="1" operator="greaterThanOrEqual">
      <formula>0</formula>
    </cfRule>
  </conditionalFormatting>
  <conditionalFormatting sqref="DB39:DC39">
    <cfRule type="cellIs" dxfId="343" priority="1384" stopIfTrue="1" operator="greaterThanOrEqual">
      <formula>0</formula>
    </cfRule>
  </conditionalFormatting>
  <conditionalFormatting sqref="DB34:DC34">
    <cfRule type="cellIs" dxfId="342" priority="1383" stopIfTrue="1" operator="greaterThanOrEqual">
      <formula>0</formula>
    </cfRule>
  </conditionalFormatting>
  <conditionalFormatting sqref="DB31:DC31">
    <cfRule type="cellIs" dxfId="341" priority="1382" stopIfTrue="1" operator="greaterThanOrEqual">
      <formula>0</formula>
    </cfRule>
  </conditionalFormatting>
  <conditionalFormatting sqref="DB32:DC32">
    <cfRule type="cellIs" dxfId="340" priority="1381" stopIfTrue="1" operator="greaterThanOrEqual">
      <formula>0</formula>
    </cfRule>
  </conditionalFormatting>
  <conditionalFormatting sqref="DB33:DC33">
    <cfRule type="cellIs" dxfId="339" priority="1380" stopIfTrue="1" operator="greaterThanOrEqual">
      <formula>0</formula>
    </cfRule>
  </conditionalFormatting>
  <conditionalFormatting sqref="DB35:DC36">
    <cfRule type="cellIs" dxfId="338" priority="1379" stopIfTrue="1" operator="greaterThanOrEqual">
      <formula>0</formula>
    </cfRule>
  </conditionalFormatting>
  <conditionalFormatting sqref="DB37:DC38">
    <cfRule type="cellIs" dxfId="337" priority="1378" stopIfTrue="1" operator="greaterThanOrEqual">
      <formula>0</formula>
    </cfRule>
  </conditionalFormatting>
  <conditionalFormatting sqref="DB30:DC30">
    <cfRule type="cellIs" dxfId="336" priority="1377" stopIfTrue="1" operator="greaterThanOrEqual">
      <formula>0</formula>
    </cfRule>
  </conditionalFormatting>
  <conditionalFormatting sqref="DL20:DW29 DD20:DD29 DY20:FN29">
    <cfRule type="cellIs" dxfId="335" priority="1374" stopIfTrue="1" operator="greaterThanOrEqual">
      <formula>0</formula>
    </cfRule>
  </conditionalFormatting>
  <conditionalFormatting sqref="AK20:AN29 AA20:AC29">
    <cfRule type="cellIs" dxfId="334" priority="1373" stopIfTrue="1" operator="notEqual">
      <formula>ROUND(AA20,0)</formula>
    </cfRule>
  </conditionalFormatting>
  <conditionalFormatting sqref="AO29:AS29 AJ29 AU29:BC29 BE29:BJ29">
    <cfRule type="cellIs" dxfId="333" priority="1372" stopIfTrue="1" operator="notEqual">
      <formula>ROUND(AJ29,0)</formula>
    </cfRule>
  </conditionalFormatting>
  <conditionalFormatting sqref="T29">
    <cfRule type="cellIs" dxfId="332" priority="1369" stopIfTrue="1" operator="notEqual">
      <formula>O29+R29+S29</formula>
    </cfRule>
  </conditionalFormatting>
  <conditionalFormatting sqref="BX29:CB29 CD29:DA29">
    <cfRule type="cellIs" dxfId="331" priority="1368" stopIfTrue="1" operator="greaterThanOrEqual">
      <formula>0</formula>
    </cfRule>
  </conditionalFormatting>
  <conditionalFormatting sqref="X29:Z29">
    <cfRule type="cellIs" dxfId="330" priority="1370" stopIfTrue="1" operator="notEqual">
      <formula>ROUND(X29,0)</formula>
    </cfRule>
  </conditionalFormatting>
  <conditionalFormatting sqref="DG29">
    <cfRule type="cellIs" dxfId="329" priority="1371" stopIfTrue="1" operator="greaterThan">
      <formula>0</formula>
    </cfRule>
  </conditionalFormatting>
  <conditionalFormatting sqref="O29">
    <cfRule type="cellIs" dxfId="328" priority="1367" stopIfTrue="1" operator="notEqual">
      <formula>SUM(P29:Q29)</formula>
    </cfRule>
  </conditionalFormatting>
  <conditionalFormatting sqref="AO28:BJ28 AJ28 AT29 BD29">
    <cfRule type="cellIs" dxfId="327" priority="1366" stopIfTrue="1" operator="notEqual">
      <formula>ROUND(AJ28,0)</formula>
    </cfRule>
  </conditionalFormatting>
  <conditionalFormatting sqref="T28">
    <cfRule type="cellIs" dxfId="326" priority="1363" stopIfTrue="1" operator="notEqual">
      <formula>O28+R28+S28</formula>
    </cfRule>
  </conditionalFormatting>
  <conditionalFormatting sqref="BX28:CB28 CD28:DA28">
    <cfRule type="cellIs" dxfId="325" priority="1362" stopIfTrue="1" operator="greaterThanOrEqual">
      <formula>0</formula>
    </cfRule>
  </conditionalFormatting>
  <conditionalFormatting sqref="X28:Z28">
    <cfRule type="cellIs" dxfId="324" priority="1364" stopIfTrue="1" operator="notEqual">
      <formula>ROUND(X28,0)</formula>
    </cfRule>
  </conditionalFormatting>
  <conditionalFormatting sqref="DG28">
    <cfRule type="cellIs" dxfId="323" priority="1365" stopIfTrue="1" operator="greaterThan">
      <formula>0</formula>
    </cfRule>
  </conditionalFormatting>
  <conditionalFormatting sqref="O28">
    <cfRule type="cellIs" dxfId="322" priority="1361" stopIfTrue="1" operator="notEqual">
      <formula>SUM(P28:Q28)</formula>
    </cfRule>
  </conditionalFormatting>
  <conditionalFormatting sqref="AO23:BJ23 AJ23">
    <cfRule type="cellIs" dxfId="321" priority="1360" stopIfTrue="1" operator="notEqual">
      <formula>ROUND(AJ23,0)</formula>
    </cfRule>
  </conditionalFormatting>
  <conditionalFormatting sqref="T23">
    <cfRule type="cellIs" dxfId="320" priority="1357" stopIfTrue="1" operator="notEqual">
      <formula>O23+R23+S23</formula>
    </cfRule>
  </conditionalFormatting>
  <conditionalFormatting sqref="CD23:DA23 BX23:CB23">
    <cfRule type="cellIs" dxfId="319" priority="1356" stopIfTrue="1" operator="greaterThanOrEqual">
      <formula>0</formula>
    </cfRule>
  </conditionalFormatting>
  <conditionalFormatting sqref="X23:Z23">
    <cfRule type="cellIs" dxfId="318" priority="1358" stopIfTrue="1" operator="notEqual">
      <formula>ROUND(X23,0)</formula>
    </cfRule>
  </conditionalFormatting>
  <conditionalFormatting sqref="DG23">
    <cfRule type="cellIs" dxfId="317" priority="1359" stopIfTrue="1" operator="greaterThan">
      <formula>0</formula>
    </cfRule>
  </conditionalFormatting>
  <conditionalFormatting sqref="O23">
    <cfRule type="cellIs" dxfId="316" priority="1355" stopIfTrue="1" operator="notEqual">
      <formula>SUM(P23:Q23)</formula>
    </cfRule>
  </conditionalFormatting>
  <conditionalFormatting sqref="AI20:AI29">
    <cfRule type="cellIs" dxfId="315" priority="1354" stopIfTrue="1" operator="notEqual">
      <formula>ROUND(AI20,0)</formula>
    </cfRule>
  </conditionalFormatting>
  <conditionalFormatting sqref="AO20:BJ20 AJ20">
    <cfRule type="cellIs" dxfId="314" priority="1353" stopIfTrue="1" operator="notEqual">
      <formula>ROUND(AJ20,0)</formula>
    </cfRule>
  </conditionalFormatting>
  <conditionalFormatting sqref="T20">
    <cfRule type="cellIs" dxfId="313" priority="1350" stopIfTrue="1" operator="notEqual">
      <formula>O20+R20+S20</formula>
    </cfRule>
  </conditionalFormatting>
  <conditionalFormatting sqref="CD20:DA20 BX20:CB20">
    <cfRule type="cellIs" dxfId="312" priority="1349" stopIfTrue="1" operator="greaterThanOrEqual">
      <formula>0</formula>
    </cfRule>
  </conditionalFormatting>
  <conditionalFormatting sqref="X20:Z20">
    <cfRule type="cellIs" dxfId="311" priority="1351" stopIfTrue="1" operator="notEqual">
      <formula>ROUND(X20,0)</formula>
    </cfRule>
  </conditionalFormatting>
  <conditionalFormatting sqref="DG20">
    <cfRule type="cellIs" dxfId="310" priority="1352" stopIfTrue="1" operator="greaterThan">
      <formula>0</formula>
    </cfRule>
  </conditionalFormatting>
  <conditionalFormatting sqref="O20">
    <cfRule type="cellIs" dxfId="309" priority="1348" stopIfTrue="1" operator="notEqual">
      <formula>SUM(P20:Q20)</formula>
    </cfRule>
  </conditionalFormatting>
  <conditionalFormatting sqref="U20:W29">
    <cfRule type="cellIs" dxfId="308" priority="1347" stopIfTrue="1" operator="notEqual">
      <formula>ROUND(U20,0)</formula>
    </cfRule>
  </conditionalFormatting>
  <conditionalFormatting sqref="AO21:BJ21 AJ21">
    <cfRule type="cellIs" dxfId="307" priority="1346" stopIfTrue="1" operator="notEqual">
      <formula>ROUND(AJ21,0)</formula>
    </cfRule>
  </conditionalFormatting>
  <conditionalFormatting sqref="T21">
    <cfRule type="cellIs" dxfId="306" priority="1343" stopIfTrue="1" operator="notEqual">
      <formula>O21+R21+S21</formula>
    </cfRule>
  </conditionalFormatting>
  <conditionalFormatting sqref="BX21:CB21 CD21:DA21">
    <cfRule type="cellIs" dxfId="305" priority="1342" stopIfTrue="1" operator="greaterThanOrEqual">
      <formula>0</formula>
    </cfRule>
  </conditionalFormatting>
  <conditionalFormatting sqref="X21:Z21">
    <cfRule type="cellIs" dxfId="304" priority="1344" stopIfTrue="1" operator="notEqual">
      <formula>ROUND(X21,0)</formula>
    </cfRule>
  </conditionalFormatting>
  <conditionalFormatting sqref="DG21">
    <cfRule type="cellIs" dxfId="303" priority="1345" stopIfTrue="1" operator="greaterThan">
      <formula>0</formula>
    </cfRule>
  </conditionalFormatting>
  <conditionalFormatting sqref="O21">
    <cfRule type="cellIs" dxfId="302" priority="1341" stopIfTrue="1" operator="notEqual">
      <formula>SUM(P21:Q21)</formula>
    </cfRule>
  </conditionalFormatting>
  <conditionalFormatting sqref="AO22:BJ22 AJ22">
    <cfRule type="cellIs" dxfId="301" priority="1340" stopIfTrue="1" operator="notEqual">
      <formula>ROUND(AJ22,0)</formula>
    </cfRule>
  </conditionalFormatting>
  <conditionalFormatting sqref="T22">
    <cfRule type="cellIs" dxfId="300" priority="1337" stopIfTrue="1" operator="notEqual">
      <formula>O22+R22+S22</formula>
    </cfRule>
  </conditionalFormatting>
  <conditionalFormatting sqref="BX22:CB22 CD22:DA22">
    <cfRule type="cellIs" dxfId="299" priority="1336" stopIfTrue="1" operator="greaterThanOrEqual">
      <formula>0</formula>
    </cfRule>
  </conditionalFormatting>
  <conditionalFormatting sqref="X22:Z22">
    <cfRule type="cellIs" dxfId="298" priority="1338" stopIfTrue="1" operator="notEqual">
      <formula>ROUND(X22,0)</formula>
    </cfRule>
  </conditionalFormatting>
  <conditionalFormatting sqref="DG22">
    <cfRule type="cellIs" dxfId="297" priority="1339" stopIfTrue="1" operator="greaterThan">
      <formula>0</formula>
    </cfRule>
  </conditionalFormatting>
  <conditionalFormatting sqref="O22">
    <cfRule type="cellIs" dxfId="296" priority="1335" stopIfTrue="1" operator="notEqual">
      <formula>SUM(P22:Q22)</formula>
    </cfRule>
  </conditionalFormatting>
  <conditionalFormatting sqref="AO24:BJ25 AJ24:AJ25">
    <cfRule type="cellIs" dxfId="295" priority="1334" stopIfTrue="1" operator="notEqual">
      <formula>ROUND(AJ24,0)</formula>
    </cfRule>
  </conditionalFormatting>
  <conditionalFormatting sqref="T24:T25">
    <cfRule type="cellIs" dxfId="294" priority="1331" stopIfTrue="1" operator="notEqual">
      <formula>O24+R24+S24</formula>
    </cfRule>
  </conditionalFormatting>
  <conditionalFormatting sqref="BX24:CB25 CD24:DA25">
    <cfRule type="cellIs" dxfId="293" priority="1330" stopIfTrue="1" operator="greaterThanOrEqual">
      <formula>0</formula>
    </cfRule>
  </conditionalFormatting>
  <conditionalFormatting sqref="X24:Z25">
    <cfRule type="cellIs" dxfId="292" priority="1332" stopIfTrue="1" operator="notEqual">
      <formula>ROUND(X24,0)</formula>
    </cfRule>
  </conditionalFormatting>
  <conditionalFormatting sqref="DG24:DG25">
    <cfRule type="cellIs" dxfId="291" priority="1333" stopIfTrue="1" operator="greaterThan">
      <formula>0</formula>
    </cfRule>
  </conditionalFormatting>
  <conditionalFormatting sqref="O24:O25">
    <cfRule type="cellIs" dxfId="290" priority="1329" stopIfTrue="1" operator="notEqual">
      <formula>SUM(P24:Q24)</formula>
    </cfRule>
  </conditionalFormatting>
  <conditionalFormatting sqref="AO26:BJ27 AJ26:AJ27">
    <cfRule type="cellIs" dxfId="289" priority="1328" stopIfTrue="1" operator="notEqual">
      <formula>ROUND(AJ26,0)</formula>
    </cfRule>
  </conditionalFormatting>
  <conditionalFormatting sqref="T26:T27">
    <cfRule type="cellIs" dxfId="288" priority="1324" stopIfTrue="1" operator="notEqual">
      <formula>O26+R26+S26</formula>
    </cfRule>
  </conditionalFormatting>
  <conditionalFormatting sqref="BX26:CB27 CD26:DA27">
    <cfRule type="cellIs" dxfId="287" priority="1323" stopIfTrue="1" operator="greaterThanOrEqual">
      <formula>0</formula>
    </cfRule>
  </conditionalFormatting>
  <conditionalFormatting sqref="X26:Z27">
    <cfRule type="cellIs" dxfId="286" priority="1325" stopIfTrue="1" operator="notEqual">
      <formula>ROUND(X26,0)</formula>
    </cfRule>
  </conditionalFormatting>
  <conditionalFormatting sqref="DG26:DG27">
    <cfRule type="cellIs" dxfId="285" priority="1326" stopIfTrue="1" operator="greaterThan">
      <formula>0</formula>
    </cfRule>
  </conditionalFormatting>
  <conditionalFormatting sqref="F20:F29">
    <cfRule type="cellIs" dxfId="284" priority="1327" stopIfTrue="1" operator="equal">
      <formula>"да"</formula>
    </cfRule>
  </conditionalFormatting>
  <conditionalFormatting sqref="O26:O27">
    <cfRule type="cellIs" dxfId="283" priority="1322" stopIfTrue="1" operator="notEqual">
      <formula>SUM(P26:Q26)</formula>
    </cfRule>
  </conditionalFormatting>
  <conditionalFormatting sqref="AD20:AD29">
    <cfRule type="cellIs" dxfId="282" priority="1321" stopIfTrue="1" operator="notEqual">
      <formula>ROUND(AD20,0)</formula>
    </cfRule>
  </conditionalFormatting>
  <conditionalFormatting sqref="G20:G29">
    <cfRule type="expression" dxfId="281" priority="1375" stopIfTrue="1">
      <formula>G20&lt;&gt;#REF!</formula>
    </cfRule>
  </conditionalFormatting>
  <conditionalFormatting sqref="DL18:DW19 DD18:DD19 DY18:FN19">
    <cfRule type="cellIs" dxfId="280" priority="1319" stopIfTrue="1" operator="greaterThanOrEqual">
      <formula>0</formula>
    </cfRule>
  </conditionalFormatting>
  <conditionalFormatting sqref="AK18:AN19 AA18:AC19">
    <cfRule type="cellIs" dxfId="279" priority="1318" stopIfTrue="1" operator="notEqual">
      <formula>ROUND(AA18,0)</formula>
    </cfRule>
  </conditionalFormatting>
  <conditionalFormatting sqref="AO19:AS19 BE19:BJ19 AU19:BC19">
    <cfRule type="cellIs" dxfId="278" priority="1317" stopIfTrue="1" operator="notEqual">
      <formula>ROUND(AO19,0)</formula>
    </cfRule>
  </conditionalFormatting>
  <conditionalFormatting sqref="T19">
    <cfRule type="cellIs" dxfId="277" priority="1314" stopIfTrue="1" operator="notEqual">
      <formula>O19+R19+S19</formula>
    </cfRule>
  </conditionalFormatting>
  <conditionalFormatting sqref="BX19:CB19 CD19:DA19">
    <cfRule type="cellIs" dxfId="276" priority="1313" stopIfTrue="1" operator="greaterThanOrEqual">
      <formula>0</formula>
    </cfRule>
  </conditionalFormatting>
  <conditionalFormatting sqref="X19:Z19">
    <cfRule type="cellIs" dxfId="275" priority="1315" stopIfTrue="1" operator="notEqual">
      <formula>ROUND(X19,0)</formula>
    </cfRule>
  </conditionalFormatting>
  <conditionalFormatting sqref="DG19">
    <cfRule type="cellIs" dxfId="274" priority="1316" stopIfTrue="1" operator="greaterThan">
      <formula>0</formula>
    </cfRule>
  </conditionalFormatting>
  <conditionalFormatting sqref="O19">
    <cfRule type="cellIs" dxfId="273" priority="1312" stopIfTrue="1" operator="notEqual">
      <formula>SUM(P19:Q19)</formula>
    </cfRule>
  </conditionalFormatting>
  <conditionalFormatting sqref="AO18:BJ18 BD19 AT19">
    <cfRule type="cellIs" dxfId="272" priority="1311" stopIfTrue="1" operator="notEqual">
      <formula>ROUND(AO18,0)</formula>
    </cfRule>
  </conditionalFormatting>
  <conditionalFormatting sqref="T18">
    <cfRule type="cellIs" dxfId="271" priority="1308" stopIfTrue="1" operator="notEqual">
      <formula>O18+R18+S18</formula>
    </cfRule>
  </conditionalFormatting>
  <conditionalFormatting sqref="BX18:CB18 CD18:DA18">
    <cfRule type="cellIs" dxfId="270" priority="1307" stopIfTrue="1" operator="greaterThanOrEqual">
      <formula>0</formula>
    </cfRule>
  </conditionalFormatting>
  <conditionalFormatting sqref="X18:Z18">
    <cfRule type="cellIs" dxfId="269" priority="1309" stopIfTrue="1" operator="notEqual">
      <formula>ROUND(X18,0)</formula>
    </cfRule>
  </conditionalFormatting>
  <conditionalFormatting sqref="DG18">
    <cfRule type="cellIs" dxfId="268" priority="1310" stopIfTrue="1" operator="greaterThan">
      <formula>0</formula>
    </cfRule>
  </conditionalFormatting>
  <conditionalFormatting sqref="O18">
    <cfRule type="cellIs" dxfId="267" priority="1306" stopIfTrue="1" operator="notEqual">
      <formula>SUM(P18:Q18)</formula>
    </cfRule>
  </conditionalFormatting>
  <conditionalFormatting sqref="AI18:AI19">
    <cfRule type="cellIs" dxfId="266" priority="1305" stopIfTrue="1" operator="notEqual">
      <formula>ROUND(AI18,0)</formula>
    </cfRule>
  </conditionalFormatting>
  <conditionalFormatting sqref="U18:W19">
    <cfRule type="cellIs" dxfId="265" priority="1304" stopIfTrue="1" operator="notEqual">
      <formula>ROUND(U18,0)</formula>
    </cfRule>
  </conditionalFormatting>
  <conditionalFormatting sqref="AJ18:AJ19">
    <cfRule type="cellIs" dxfId="264" priority="1303" stopIfTrue="1" operator="notEqual">
      <formula>ROUND(AJ18,0)</formula>
    </cfRule>
  </conditionalFormatting>
  <conditionalFormatting sqref="F18:F19">
    <cfRule type="cellIs" dxfId="263" priority="1302" stopIfTrue="1" operator="equal">
      <formula>"да"</formula>
    </cfRule>
  </conditionalFormatting>
  <conditionalFormatting sqref="AD18:AD19">
    <cfRule type="cellIs" dxfId="262" priority="1301" stopIfTrue="1" operator="notEqual">
      <formula>ROUND(AD18,0)</formula>
    </cfRule>
  </conditionalFormatting>
  <conditionalFormatting sqref="G18:G19">
    <cfRule type="expression" dxfId="261" priority="1320" stopIfTrue="1">
      <formula>G18&lt;&gt;#REF!</formula>
    </cfRule>
  </conditionalFormatting>
  <conditionalFormatting sqref="DB29:DC29">
    <cfRule type="cellIs" dxfId="260" priority="1300" stopIfTrue="1" operator="greaterThanOrEqual">
      <formula>0</formula>
    </cfRule>
  </conditionalFormatting>
  <conditionalFormatting sqref="DB28:DC28">
    <cfRule type="cellIs" dxfId="259" priority="1299" stopIfTrue="1" operator="greaterThanOrEqual">
      <formula>0</formula>
    </cfRule>
  </conditionalFormatting>
  <conditionalFormatting sqref="DB23:DC23">
    <cfRule type="cellIs" dxfId="258" priority="1298" stopIfTrue="1" operator="greaterThanOrEqual">
      <formula>0</formula>
    </cfRule>
  </conditionalFormatting>
  <conditionalFormatting sqref="DB20:DC20">
    <cfRule type="cellIs" dxfId="257" priority="1297" stopIfTrue="1" operator="greaterThanOrEqual">
      <formula>0</formula>
    </cfRule>
  </conditionalFormatting>
  <conditionalFormatting sqref="DB21:DC21">
    <cfRule type="cellIs" dxfId="256" priority="1296" stopIfTrue="1" operator="greaterThanOrEqual">
      <formula>0</formula>
    </cfRule>
  </conditionalFormatting>
  <conditionalFormatting sqref="DB22:DC22">
    <cfRule type="cellIs" dxfId="255" priority="1295" stopIfTrue="1" operator="greaterThanOrEqual">
      <formula>0</formula>
    </cfRule>
  </conditionalFormatting>
  <conditionalFormatting sqref="DB24:DC25">
    <cfRule type="cellIs" dxfId="254" priority="1294" stopIfTrue="1" operator="greaterThanOrEqual">
      <formula>0</formula>
    </cfRule>
  </conditionalFormatting>
  <conditionalFormatting sqref="DB26:DC27">
    <cfRule type="cellIs" dxfId="253" priority="1293" stopIfTrue="1" operator="greaterThanOrEqual">
      <formula>0</formula>
    </cfRule>
  </conditionalFormatting>
  <conditionalFormatting sqref="DB19:DC19">
    <cfRule type="cellIs" dxfId="252" priority="1292" stopIfTrue="1" operator="greaterThanOrEqual">
      <formula>0</formula>
    </cfRule>
  </conditionalFormatting>
  <conditionalFormatting sqref="DB18:DC18">
    <cfRule type="cellIs" dxfId="251" priority="1291" stopIfTrue="1" operator="greaterThanOrEqual">
      <formula>0</formula>
    </cfRule>
  </conditionalFormatting>
  <conditionalFormatting sqref="DL8:DW17 DD8:DD17 DY8:FN17">
    <cfRule type="cellIs" dxfId="250" priority="1289" stopIfTrue="1" operator="greaterThanOrEqual">
      <formula>0</formula>
    </cfRule>
  </conditionalFormatting>
  <conditionalFormatting sqref="AK8:AN17 AA8:AC17">
    <cfRule type="cellIs" dxfId="249" priority="1288" stopIfTrue="1" operator="notEqual">
      <formula>ROUND(AA8,0)</formula>
    </cfRule>
  </conditionalFormatting>
  <conditionalFormatting sqref="AO17:AS17 AJ17 AU17:BC17 BE17:BJ17">
    <cfRule type="cellIs" dxfId="248" priority="1287" stopIfTrue="1" operator="notEqual">
      <formula>ROUND(AJ17,0)</formula>
    </cfRule>
  </conditionalFormatting>
  <conditionalFormatting sqref="T17">
    <cfRule type="cellIs" dxfId="247" priority="1284" stopIfTrue="1" operator="notEqual">
      <formula>O17+R17+S17</formula>
    </cfRule>
  </conditionalFormatting>
  <conditionalFormatting sqref="BX17:CB17 CD17:DA17">
    <cfRule type="cellIs" dxfId="246" priority="1283" stopIfTrue="1" operator="greaterThanOrEqual">
      <formula>0</formula>
    </cfRule>
  </conditionalFormatting>
  <conditionalFormatting sqref="X17:Z17">
    <cfRule type="cellIs" dxfId="245" priority="1285" stopIfTrue="1" operator="notEqual">
      <formula>ROUND(X17,0)</formula>
    </cfRule>
  </conditionalFormatting>
  <conditionalFormatting sqref="DG17">
    <cfRule type="cellIs" dxfId="244" priority="1286" stopIfTrue="1" operator="greaterThan">
      <formula>0</formula>
    </cfRule>
  </conditionalFormatting>
  <conditionalFormatting sqref="O17">
    <cfRule type="cellIs" dxfId="243" priority="1282" stopIfTrue="1" operator="notEqual">
      <formula>SUM(P17:Q17)</formula>
    </cfRule>
  </conditionalFormatting>
  <conditionalFormatting sqref="AO16:BJ16 AJ16 AT17 BD17">
    <cfRule type="cellIs" dxfId="242" priority="1281" stopIfTrue="1" operator="notEqual">
      <formula>ROUND(AJ16,0)</formula>
    </cfRule>
  </conditionalFormatting>
  <conditionalFormatting sqref="T16">
    <cfRule type="cellIs" dxfId="241" priority="1278" stopIfTrue="1" operator="notEqual">
      <formula>O16+R16+S16</formula>
    </cfRule>
  </conditionalFormatting>
  <conditionalFormatting sqref="BX16:CB16 CD16:DA16">
    <cfRule type="cellIs" dxfId="240" priority="1277" stopIfTrue="1" operator="greaterThanOrEqual">
      <formula>0</formula>
    </cfRule>
  </conditionalFormatting>
  <conditionalFormatting sqref="X16:Z16">
    <cfRule type="cellIs" dxfId="239" priority="1279" stopIfTrue="1" operator="notEqual">
      <formula>ROUND(X16,0)</formula>
    </cfRule>
  </conditionalFormatting>
  <conditionalFormatting sqref="DG16">
    <cfRule type="cellIs" dxfId="238" priority="1280" stopIfTrue="1" operator="greaterThan">
      <formula>0</formula>
    </cfRule>
  </conditionalFormatting>
  <conditionalFormatting sqref="O16">
    <cfRule type="cellIs" dxfId="237" priority="1276" stopIfTrue="1" operator="notEqual">
      <formula>SUM(P16:Q16)</formula>
    </cfRule>
  </conditionalFormatting>
  <conditionalFormatting sqref="AO11:BJ11 AJ11">
    <cfRule type="cellIs" dxfId="236" priority="1275" stopIfTrue="1" operator="notEqual">
      <formula>ROUND(AJ11,0)</formula>
    </cfRule>
  </conditionalFormatting>
  <conditionalFormatting sqref="T11">
    <cfRule type="cellIs" dxfId="235" priority="1272" stopIfTrue="1" operator="notEqual">
      <formula>O11+R11+S11</formula>
    </cfRule>
  </conditionalFormatting>
  <conditionalFormatting sqref="CD11:DA11 BX11:CB11">
    <cfRule type="cellIs" dxfId="234" priority="1271" stopIfTrue="1" operator="greaterThanOrEqual">
      <formula>0</formula>
    </cfRule>
  </conditionalFormatting>
  <conditionalFormatting sqref="X11:Z11">
    <cfRule type="cellIs" dxfId="233" priority="1273" stopIfTrue="1" operator="notEqual">
      <formula>ROUND(X11,0)</formula>
    </cfRule>
  </conditionalFormatting>
  <conditionalFormatting sqref="DG11">
    <cfRule type="cellIs" dxfId="232" priority="1274" stopIfTrue="1" operator="greaterThan">
      <formula>0</formula>
    </cfRule>
  </conditionalFormatting>
  <conditionalFormatting sqref="O11">
    <cfRule type="cellIs" dxfId="231" priority="1270" stopIfTrue="1" operator="notEqual">
      <formula>SUM(P11:Q11)</formula>
    </cfRule>
  </conditionalFormatting>
  <conditionalFormatting sqref="AI8:AI17">
    <cfRule type="cellIs" dxfId="230" priority="1269" stopIfTrue="1" operator="notEqual">
      <formula>ROUND(AI8,0)</formula>
    </cfRule>
  </conditionalFormatting>
  <conditionalFormatting sqref="AO8:BJ8 AJ8">
    <cfRule type="cellIs" dxfId="229" priority="1268" stopIfTrue="1" operator="notEqual">
      <formula>ROUND(AJ8,0)</formula>
    </cfRule>
  </conditionalFormatting>
  <conditionalFormatting sqref="T8">
    <cfRule type="cellIs" dxfId="228" priority="1265" stopIfTrue="1" operator="notEqual">
      <formula>O8+R8+S8</formula>
    </cfRule>
  </conditionalFormatting>
  <conditionalFormatting sqref="CD8:DA8 BX8:CB8">
    <cfRule type="cellIs" dxfId="227" priority="1264" stopIfTrue="1" operator="greaterThanOrEqual">
      <formula>0</formula>
    </cfRule>
  </conditionalFormatting>
  <conditionalFormatting sqref="X8:Z8">
    <cfRule type="cellIs" dxfId="226" priority="1266" stopIfTrue="1" operator="notEqual">
      <formula>ROUND(X8,0)</formula>
    </cfRule>
  </conditionalFormatting>
  <conditionalFormatting sqref="DG8">
    <cfRule type="cellIs" dxfId="225" priority="1267" stopIfTrue="1" operator="greaterThan">
      <formula>0</formula>
    </cfRule>
  </conditionalFormatting>
  <conditionalFormatting sqref="O8">
    <cfRule type="cellIs" dxfId="224" priority="1263" stopIfTrue="1" operator="notEqual">
      <formula>SUM(P8:Q8)</formula>
    </cfRule>
  </conditionalFormatting>
  <conditionalFormatting sqref="U8:W17">
    <cfRule type="cellIs" dxfId="223" priority="1262" stopIfTrue="1" operator="notEqual">
      <formula>ROUND(U8,0)</formula>
    </cfRule>
  </conditionalFormatting>
  <conditionalFormatting sqref="AO9:BJ9 AJ9">
    <cfRule type="cellIs" dxfId="222" priority="1261" stopIfTrue="1" operator="notEqual">
      <formula>ROUND(AJ9,0)</formula>
    </cfRule>
  </conditionalFormatting>
  <conditionalFormatting sqref="T9">
    <cfRule type="cellIs" dxfId="221" priority="1258" stopIfTrue="1" operator="notEqual">
      <formula>O9+R9+S9</formula>
    </cfRule>
  </conditionalFormatting>
  <conditionalFormatting sqref="BX9:CB9 CD9:DA9">
    <cfRule type="cellIs" dxfId="220" priority="1257" stopIfTrue="1" operator="greaterThanOrEqual">
      <formula>0</formula>
    </cfRule>
  </conditionalFormatting>
  <conditionalFormatting sqref="X9:Z9">
    <cfRule type="cellIs" dxfId="219" priority="1259" stopIfTrue="1" operator="notEqual">
      <formula>ROUND(X9,0)</formula>
    </cfRule>
  </conditionalFormatting>
  <conditionalFormatting sqref="DG9">
    <cfRule type="cellIs" dxfId="218" priority="1260" stopIfTrue="1" operator="greaterThan">
      <formula>0</formula>
    </cfRule>
  </conditionalFormatting>
  <conditionalFormatting sqref="O9">
    <cfRule type="cellIs" dxfId="217" priority="1256" stopIfTrue="1" operator="notEqual">
      <formula>SUM(P9:Q9)</formula>
    </cfRule>
  </conditionalFormatting>
  <conditionalFormatting sqref="AO10:BJ10 AJ10">
    <cfRule type="cellIs" dxfId="216" priority="1255" stopIfTrue="1" operator="notEqual">
      <formula>ROUND(AJ10,0)</formula>
    </cfRule>
  </conditionalFormatting>
  <conditionalFormatting sqref="T10">
    <cfRule type="cellIs" dxfId="215" priority="1252" stopIfTrue="1" operator="notEqual">
      <formula>O10+R10+S10</formula>
    </cfRule>
  </conditionalFormatting>
  <conditionalFormatting sqref="BX10:CB10 CD10:DA10">
    <cfRule type="cellIs" dxfId="214" priority="1251" stopIfTrue="1" operator="greaterThanOrEqual">
      <formula>0</formula>
    </cfRule>
  </conditionalFormatting>
  <conditionalFormatting sqref="X10:Z10">
    <cfRule type="cellIs" dxfId="213" priority="1253" stopIfTrue="1" operator="notEqual">
      <formula>ROUND(X10,0)</formula>
    </cfRule>
  </conditionalFormatting>
  <conditionalFormatting sqref="DG10">
    <cfRule type="cellIs" dxfId="212" priority="1254" stopIfTrue="1" operator="greaterThan">
      <formula>0</formula>
    </cfRule>
  </conditionalFormatting>
  <conditionalFormatting sqref="O10">
    <cfRule type="cellIs" dxfId="211" priority="1250" stopIfTrue="1" operator="notEqual">
      <formula>SUM(P10:Q10)</formula>
    </cfRule>
  </conditionalFormatting>
  <conditionalFormatting sqref="AO12:BJ13 AJ12:AJ13">
    <cfRule type="cellIs" dxfId="210" priority="1249" stopIfTrue="1" operator="notEqual">
      <formula>ROUND(AJ12,0)</formula>
    </cfRule>
  </conditionalFormatting>
  <conditionalFormatting sqref="T12:T13">
    <cfRule type="cellIs" dxfId="209" priority="1246" stopIfTrue="1" operator="notEqual">
      <formula>O12+R12+S12</formula>
    </cfRule>
  </conditionalFormatting>
  <conditionalFormatting sqref="BX12:CB13 CD12:DA13">
    <cfRule type="cellIs" dxfId="208" priority="1245" stopIfTrue="1" operator="greaterThanOrEqual">
      <formula>0</formula>
    </cfRule>
  </conditionalFormatting>
  <conditionalFormatting sqref="X12:Z13">
    <cfRule type="cellIs" dxfId="207" priority="1247" stopIfTrue="1" operator="notEqual">
      <formula>ROUND(X12,0)</formula>
    </cfRule>
  </conditionalFormatting>
  <conditionalFormatting sqref="DG12:DG13">
    <cfRule type="cellIs" dxfId="206" priority="1248" stopIfTrue="1" operator="greaterThan">
      <formula>0</formula>
    </cfRule>
  </conditionalFormatting>
  <conditionalFormatting sqref="O12:O13">
    <cfRule type="cellIs" dxfId="205" priority="1244" stopIfTrue="1" operator="notEqual">
      <formula>SUM(P12:Q12)</formula>
    </cfRule>
  </conditionalFormatting>
  <conditionalFormatting sqref="AO14:BJ15 AJ14:AJ15">
    <cfRule type="cellIs" dxfId="204" priority="1243" stopIfTrue="1" operator="notEqual">
      <formula>ROUND(AJ14,0)</formula>
    </cfRule>
  </conditionalFormatting>
  <conditionalFormatting sqref="T14:T15">
    <cfRule type="cellIs" dxfId="203" priority="1239" stopIfTrue="1" operator="notEqual">
      <formula>O14+R14+S14</formula>
    </cfRule>
  </conditionalFormatting>
  <conditionalFormatting sqref="BX14:CB15 CD14:DA15">
    <cfRule type="cellIs" dxfId="202" priority="1238" stopIfTrue="1" operator="greaterThanOrEqual">
      <formula>0</formula>
    </cfRule>
  </conditionalFormatting>
  <conditionalFormatting sqref="X14:Z15">
    <cfRule type="cellIs" dxfId="201" priority="1240" stopIfTrue="1" operator="notEqual">
      <formula>ROUND(X14,0)</formula>
    </cfRule>
  </conditionalFormatting>
  <conditionalFormatting sqref="DG14:DG15">
    <cfRule type="cellIs" dxfId="200" priority="1241" stopIfTrue="1" operator="greaterThan">
      <formula>0</formula>
    </cfRule>
  </conditionalFormatting>
  <conditionalFormatting sqref="F8:F17">
    <cfRule type="cellIs" dxfId="199" priority="1242" stopIfTrue="1" operator="equal">
      <formula>"да"</formula>
    </cfRule>
  </conditionalFormatting>
  <conditionalFormatting sqref="O14:O15">
    <cfRule type="cellIs" dxfId="198" priority="1237" stopIfTrue="1" operator="notEqual">
      <formula>SUM(P14:Q14)</formula>
    </cfRule>
  </conditionalFormatting>
  <conditionalFormatting sqref="AD8:AD17">
    <cfRule type="cellIs" dxfId="197" priority="1236" stopIfTrue="1" operator="notEqual">
      <formula>ROUND(AD8,0)</formula>
    </cfRule>
  </conditionalFormatting>
  <conditionalFormatting sqref="G8:G17">
    <cfRule type="expression" dxfId="196" priority="1290" stopIfTrue="1">
      <formula>G8&lt;&gt;#REF!</formula>
    </cfRule>
  </conditionalFormatting>
  <conditionalFormatting sqref="DY7:FN7 DD7 DL7:DW7">
    <cfRule type="cellIs" dxfId="195" priority="1234" stopIfTrue="1" operator="greaterThanOrEqual">
      <formula>0</formula>
    </cfRule>
  </conditionalFormatting>
  <conditionalFormatting sqref="AA7:AC7 AK7:AN7">
    <cfRule type="cellIs" dxfId="194" priority="1233" stopIfTrue="1" operator="notEqual">
      <formula>ROUND(AA7,0)</formula>
    </cfRule>
  </conditionalFormatting>
  <conditionalFormatting sqref="AO7:AS7 BE7:BJ7 AU7:BC7">
    <cfRule type="cellIs" dxfId="193" priority="1232" stopIfTrue="1" operator="notEqual">
      <formula>ROUND(AO7,0)</formula>
    </cfRule>
  </conditionalFormatting>
  <conditionalFormatting sqref="T7">
    <cfRule type="cellIs" dxfId="192" priority="1229" stopIfTrue="1" operator="notEqual">
      <formula>O7+R7+S7</formula>
    </cfRule>
  </conditionalFormatting>
  <conditionalFormatting sqref="BX7:CB7 CD7:DA7">
    <cfRule type="cellIs" dxfId="191" priority="1228" stopIfTrue="1" operator="greaterThanOrEqual">
      <formula>0</formula>
    </cfRule>
  </conditionalFormatting>
  <conditionalFormatting sqref="X7:Z7">
    <cfRule type="cellIs" dxfId="190" priority="1230" stopIfTrue="1" operator="notEqual">
      <formula>ROUND(X7,0)</formula>
    </cfRule>
  </conditionalFormatting>
  <conditionalFormatting sqref="DG7">
    <cfRule type="cellIs" dxfId="189" priority="1231" stopIfTrue="1" operator="greaterThan">
      <formula>0</formula>
    </cfRule>
  </conditionalFormatting>
  <conditionalFormatting sqref="O7">
    <cfRule type="cellIs" dxfId="188" priority="1227" stopIfTrue="1" operator="notEqual">
      <formula>SUM(P7:Q7)</formula>
    </cfRule>
  </conditionalFormatting>
  <conditionalFormatting sqref="BD7 AT7">
    <cfRule type="cellIs" dxfId="187" priority="1226" stopIfTrue="1" operator="notEqual">
      <formula>ROUND(AT7,0)</formula>
    </cfRule>
  </conditionalFormatting>
  <conditionalFormatting sqref="AI7">
    <cfRule type="cellIs" dxfId="186" priority="1225" stopIfTrue="1" operator="notEqual">
      <formula>ROUND(AI7,0)</formula>
    </cfRule>
  </conditionalFormatting>
  <conditionalFormatting sqref="U7:W7">
    <cfRule type="cellIs" dxfId="185" priority="1224" stopIfTrue="1" operator="notEqual">
      <formula>ROUND(U7,0)</formula>
    </cfRule>
  </conditionalFormatting>
  <conditionalFormatting sqref="AJ7">
    <cfRule type="cellIs" dxfId="184" priority="1223" stopIfTrue="1" operator="notEqual">
      <formula>ROUND(AJ7,0)</formula>
    </cfRule>
  </conditionalFormatting>
  <conditionalFormatting sqref="F7">
    <cfRule type="cellIs" dxfId="183" priority="1222" stopIfTrue="1" operator="equal">
      <formula>"да"</formula>
    </cfRule>
  </conditionalFormatting>
  <conditionalFormatting sqref="AD7">
    <cfRule type="cellIs" dxfId="182" priority="1221" stopIfTrue="1" operator="notEqual">
      <formula>ROUND(AD7,0)</formula>
    </cfRule>
  </conditionalFormatting>
  <conditionalFormatting sqref="G7">
    <cfRule type="expression" dxfId="181" priority="1235" stopIfTrue="1">
      <formula>G7&lt;&gt;#REF!</formula>
    </cfRule>
  </conditionalFormatting>
  <conditionalFormatting sqref="DB17:DC17">
    <cfRule type="cellIs" dxfId="180" priority="1220" stopIfTrue="1" operator="greaterThanOrEqual">
      <formula>0</formula>
    </cfRule>
  </conditionalFormatting>
  <conditionalFormatting sqref="DB16:DC16">
    <cfRule type="cellIs" dxfId="179" priority="1219" stopIfTrue="1" operator="greaterThanOrEqual">
      <formula>0</formula>
    </cfRule>
  </conditionalFormatting>
  <conditionalFormatting sqref="DB11:DC11">
    <cfRule type="cellIs" dxfId="178" priority="1218" stopIfTrue="1" operator="greaterThanOrEqual">
      <formula>0</formula>
    </cfRule>
  </conditionalFormatting>
  <conditionalFormatting sqref="DB8:DC8">
    <cfRule type="cellIs" dxfId="177" priority="1217" stopIfTrue="1" operator="greaterThanOrEqual">
      <formula>0</formula>
    </cfRule>
  </conditionalFormatting>
  <conditionalFormatting sqref="DB9:DC9">
    <cfRule type="cellIs" dxfId="176" priority="1216" stopIfTrue="1" operator="greaterThanOrEqual">
      <formula>0</formula>
    </cfRule>
  </conditionalFormatting>
  <conditionalFormatting sqref="DB10:DC10">
    <cfRule type="cellIs" dxfId="175" priority="1215" stopIfTrue="1" operator="greaterThanOrEqual">
      <formula>0</formula>
    </cfRule>
  </conditionalFormatting>
  <conditionalFormatting sqref="DB12:DC13">
    <cfRule type="cellIs" dxfId="174" priority="1214" stopIfTrue="1" operator="greaterThanOrEqual">
      <formula>0</formula>
    </cfRule>
  </conditionalFormatting>
  <conditionalFormatting sqref="DB14:DC15">
    <cfRule type="cellIs" dxfId="173" priority="1213" stopIfTrue="1" operator="greaterThanOrEqual">
      <formula>0</formula>
    </cfRule>
  </conditionalFormatting>
  <conditionalFormatting sqref="DB7:DC7">
    <cfRule type="cellIs" dxfId="172" priority="1212" stopIfTrue="1" operator="greaterThanOrEqual">
      <formula>0</formula>
    </cfRule>
  </conditionalFormatting>
  <conditionalFormatting sqref="AO5:AS5 AJ5 AU5:BC5 BE5:BJ5">
    <cfRule type="cellIs" dxfId="171" priority="1208" stopIfTrue="1" operator="notEqual">
      <formula>ROUND(AJ5,0)</formula>
    </cfRule>
  </conditionalFormatting>
  <conditionalFormatting sqref="T5">
    <cfRule type="cellIs" dxfId="170" priority="1205" stopIfTrue="1" operator="notEqual">
      <formula>O5+R5+S5</formula>
    </cfRule>
  </conditionalFormatting>
  <conditionalFormatting sqref="BX5:CB5">
    <cfRule type="cellIs" dxfId="169" priority="1204" stopIfTrue="1" operator="greaterThanOrEqual">
      <formula>0</formula>
    </cfRule>
  </conditionalFormatting>
  <conditionalFormatting sqref="X5:Z5">
    <cfRule type="cellIs" dxfId="168" priority="1206" stopIfTrue="1" operator="notEqual">
      <formula>ROUND(X5,0)</formula>
    </cfRule>
  </conditionalFormatting>
  <conditionalFormatting sqref="DG5">
    <cfRule type="cellIs" dxfId="167" priority="1207" stopIfTrue="1" operator="greaterThan">
      <formula>0</formula>
    </cfRule>
  </conditionalFormatting>
  <conditionalFormatting sqref="O5">
    <cfRule type="cellIs" dxfId="166" priority="1203" stopIfTrue="1" operator="notEqual">
      <formula>SUM(P5:Q5)</formula>
    </cfRule>
  </conditionalFormatting>
  <conditionalFormatting sqref="AT5 BD5">
    <cfRule type="cellIs" dxfId="165" priority="1202" stopIfTrue="1" operator="notEqual">
      <formula>ROUND(AT5,0)</formula>
    </cfRule>
  </conditionalFormatting>
  <conditionalFormatting sqref="AE4:AE53">
    <cfRule type="cellIs" dxfId="164" priority="20" stopIfTrue="1" operator="notEqual">
      <formula>ROUND(AE4,0)</formula>
    </cfRule>
  </conditionalFormatting>
  <conditionalFormatting sqref="G4">
    <cfRule type="expression" dxfId="163" priority="19" stopIfTrue="1">
      <formula>G4&lt;&gt;#REF!</formula>
    </cfRule>
  </conditionalFormatting>
  <conditionalFormatting sqref="G5">
    <cfRule type="expression" dxfId="162" priority="14" stopIfTrue="1">
      <formula>G5&lt;&gt;#REF!</formula>
    </cfRule>
  </conditionalFormatting>
  <conditionalFormatting sqref="G6">
    <cfRule type="expression" dxfId="161" priority="11" stopIfTrue="1">
      <formula>G6&lt;&gt;#REF!</formula>
    </cfRule>
  </conditionalFormatting>
  <conditionalFormatting sqref="CD5:DA5">
    <cfRule type="cellIs" dxfId="160" priority="6" stopIfTrue="1" operator="greaterThanOrEqual">
      <formula>0</formula>
    </cfRule>
  </conditionalFormatting>
  <conditionalFormatting sqref="DB5:DC5">
    <cfRule type="cellIs" dxfId="159" priority="5" stopIfTrue="1" operator="greaterThanOrEqual">
      <formula>0</formula>
    </cfRule>
  </conditionalFormatting>
  <conditionalFormatting sqref="CD4:DA4">
    <cfRule type="cellIs" dxfId="158" priority="4" stopIfTrue="1" operator="greaterThanOrEqual">
      <formula>0</formula>
    </cfRule>
  </conditionalFormatting>
  <conditionalFormatting sqref="DB4:DC4">
    <cfRule type="cellIs" dxfId="157" priority="3" stopIfTrue="1" operator="greaterThanOrEqual">
      <formula>0</formula>
    </cfRule>
  </conditionalFormatting>
  <conditionalFormatting sqref="CD6:DA6">
    <cfRule type="cellIs" dxfId="156" priority="2" stopIfTrue="1" operator="greaterThanOrEqual">
      <formula>0</formula>
    </cfRule>
  </conditionalFormatting>
  <conditionalFormatting sqref="DB6:DC6">
    <cfRule type="cellIs" dxfId="155" priority="1" stopIfTrue="1" operator="greaterThanOrEqual">
      <formula>0</formula>
    </cfRule>
  </conditionalFormatting>
  <dataValidations count="3">
    <dataValidation type="list" allowBlank="1" showInputMessage="1" showErrorMessage="1" sqref="H4:H54">
      <formula1>вид_работ</formula1>
    </dataValidation>
    <dataValidation type="list" allowBlank="1" showInputMessage="1" showErrorMessage="1" sqref="E4:E54">
      <formula1>уров_цен</formula1>
    </dataValidation>
    <dataValidation type="list" allowBlank="1" showInputMessage="1" showErrorMessage="1" sqref="G4:G54">
      <formula1>район</formula1>
    </dataValidation>
  </dataValidations>
  <printOptions horizontalCentered="1"/>
  <pageMargins left="0.19685039370078741" right="0.19685039370078741" top="0.19685039370078741" bottom="0.19685039370078741" header="0.39370078740157483" footer="0.27559055118110237"/>
  <pageSetup paperSize="9" fitToHeight="0" orientation="portrait" r:id="rId6"/>
  <headerFooter alignWithMargins="0">
    <oddFooter>&amp;L&amp;T &amp;D&amp;R&amp;"Times New Roman,обычный"&amp;9&amp;P</oddFooter>
  </headerFooter>
  <legacyDrawing r:id="rId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notContainsText" priority="18152" operator="notContains" id="{72F5AFB2-50A4-44F1-A9EB-E780B0F4E18B}">
            <xm:f>ISERROR(SEARCH(VLOOKUP(E55,'Расчет инфляции'!$BD$26:$BD$47,1,0),E55))</xm:f>
            <xm:f>VLOOKUP(E55,'Расчет инфляции'!$BD$26:$BD$47,1,0)</xm:f>
            <x14:dxf>
              <font>
                <b/>
                <i val="0"/>
                <color rgb="FFFF0000"/>
              </font>
              <fill>
                <patternFill patternType="none">
                  <bgColor auto="1"/>
                </patternFill>
              </fill>
            </x14:dxf>
          </x14:cfRule>
          <xm:sqref>E55:E9816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pageSetUpPr fitToPage="1"/>
  </sheetPr>
  <dimension ref="A1:S51"/>
  <sheetViews>
    <sheetView showGridLines="0" showZeros="0" zoomScaleNormal="100" zoomScaleSheetLayoutView="70" workbookViewId="0">
      <pane xSplit="4" ySplit="1" topLeftCell="E29" activePane="bottomRight" state="frozen"/>
      <selection pane="topRight" activeCell="D1" sqref="D1"/>
      <selection pane="bottomLeft" activeCell="A2" sqref="A2"/>
      <selection pane="bottomRight" activeCell="C1" sqref="C1"/>
    </sheetView>
  </sheetViews>
  <sheetFormatPr defaultColWidth="9.140625" defaultRowHeight="15.75" x14ac:dyDescent="0.25"/>
  <cols>
    <col min="1" max="1" width="4.140625" style="105" customWidth="1"/>
    <col min="2" max="2" width="50.7109375" style="105" customWidth="1"/>
    <col min="3" max="3" width="8.7109375" style="105" customWidth="1"/>
    <col min="4" max="4" width="39.28515625" style="105" customWidth="1"/>
    <col min="5" max="5" width="19.5703125" style="105" customWidth="1"/>
    <col min="6" max="6" width="12.28515625" style="105" customWidth="1"/>
    <col min="7" max="7" width="53.7109375" style="179" hidden="1" customWidth="1"/>
    <col min="8" max="8" width="40.7109375" style="179" hidden="1" customWidth="1"/>
    <col min="9" max="9" width="93.7109375" style="17" hidden="1" customWidth="1"/>
    <col min="10" max="10" width="9.140625" style="105"/>
    <col min="11" max="11" width="11.28515625" style="105" customWidth="1"/>
    <col min="12" max="12" width="12.5703125" style="105" customWidth="1"/>
    <col min="13" max="13" width="9.28515625" style="105" bestFit="1" customWidth="1"/>
    <col min="14" max="14" width="9.28515625" style="105" customWidth="1"/>
    <col min="15" max="15" width="15" style="105" bestFit="1" customWidth="1"/>
    <col min="16" max="16" width="9.28515625" style="105" bestFit="1" customWidth="1"/>
    <col min="17" max="17" width="9.28515625" style="105" customWidth="1"/>
    <col min="18" max="18" width="15" style="105" customWidth="1"/>
    <col min="19" max="19" width="13.28515625" style="105" customWidth="1"/>
    <col min="20" max="20" width="13" style="105" bestFit="1" customWidth="1"/>
    <col min="21" max="16384" width="9.140625" style="105"/>
  </cols>
  <sheetData>
    <row r="1" spans="1:11" x14ac:dyDescent="0.25">
      <c r="F1" s="130">
        <v>137</v>
      </c>
      <c r="G1" s="180"/>
      <c r="H1" s="180"/>
    </row>
    <row r="2" spans="1:11" hidden="1" x14ac:dyDescent="0.25">
      <c r="D2" s="197" t="s">
        <v>215</v>
      </c>
      <c r="J2" s="105">
        <v>1</v>
      </c>
    </row>
    <row r="3" spans="1:11" hidden="1" x14ac:dyDescent="0.25">
      <c r="D3" s="197" t="s">
        <v>327</v>
      </c>
      <c r="J3" s="105">
        <v>1</v>
      </c>
    </row>
    <row r="4" spans="1:11" hidden="1" x14ac:dyDescent="0.25">
      <c r="D4" s="197" t="s">
        <v>328</v>
      </c>
      <c r="J4" s="105">
        <v>1</v>
      </c>
    </row>
    <row r="5" spans="1:11" hidden="1" x14ac:dyDescent="0.25">
      <c r="D5" s="197" t="s">
        <v>329</v>
      </c>
      <c r="J5" s="105">
        <v>1</v>
      </c>
    </row>
    <row r="6" spans="1:11" ht="22.5" hidden="1" customHeight="1" x14ac:dyDescent="0.25">
      <c r="D6" s="292" t="s">
        <v>233</v>
      </c>
      <c r="J6" s="105">
        <v>1</v>
      </c>
    </row>
    <row r="7" spans="1:11" hidden="1" x14ac:dyDescent="0.25">
      <c r="D7" s="210" t="s">
        <v>216</v>
      </c>
      <c r="J7" s="105">
        <v>1</v>
      </c>
    </row>
    <row r="8" spans="1:11" s="128" customFormat="1" ht="18.75" hidden="1" x14ac:dyDescent="0.25">
      <c r="A8" s="444" t="s">
        <v>217</v>
      </c>
      <c r="B8" s="444"/>
      <c r="C8" s="444"/>
      <c r="D8" s="444"/>
      <c r="F8" s="262" t="s">
        <v>242</v>
      </c>
      <c r="G8" s="179"/>
      <c r="H8" s="179"/>
      <c r="I8" s="18"/>
      <c r="J8" s="128">
        <v>1</v>
      </c>
    </row>
    <row r="9" spans="1:11" s="37" customFormat="1" ht="47.25" hidden="1" customHeight="1" x14ac:dyDescent="0.25">
      <c r="A9" s="445" t="e">
        <v>#N/A</v>
      </c>
      <c r="B9" s="445"/>
      <c r="C9" s="445"/>
      <c r="D9" s="445"/>
      <c r="E9" s="129"/>
      <c r="G9" s="211"/>
      <c r="H9" s="211"/>
      <c r="I9" s="198" t="e">
        <f>A9</f>
        <v>#N/A</v>
      </c>
      <c r="J9" s="37">
        <v>1</v>
      </c>
    </row>
    <row r="10" spans="1:11" s="201" customFormat="1" ht="5.25" hidden="1" x14ac:dyDescent="0.15">
      <c r="A10" s="199"/>
      <c r="B10" s="199"/>
      <c r="C10" s="199"/>
      <c r="D10" s="199"/>
      <c r="E10" s="200"/>
      <c r="G10" s="212"/>
      <c r="H10" s="212"/>
      <c r="I10" s="202"/>
      <c r="J10" s="201">
        <v>1</v>
      </c>
    </row>
    <row r="11" spans="1:11" s="37" customFormat="1" hidden="1" x14ac:dyDescent="0.25">
      <c r="A11" s="231" t="e">
        <f>CONCATENATE("Дата подготовки обоснования начальной (максимальной) цены контракта: ",TEXT(VLOOKUP($F$1,таблица,2,0),"ДД.ММ.ГГГГ")," г")</f>
        <v>#N/A</v>
      </c>
      <c r="B11" s="194"/>
      <c r="C11" s="194"/>
      <c r="D11" s="194"/>
      <c r="E11" s="193"/>
      <c r="G11" s="211"/>
      <c r="H11" s="211"/>
      <c r="I11" s="46"/>
      <c r="J11" s="37">
        <v>1</v>
      </c>
    </row>
    <row r="12" spans="1:11" s="37" customFormat="1" hidden="1" x14ac:dyDescent="0.25">
      <c r="A12" s="450" t="e">
        <f>VLOOKUP((VLOOKUP($F$1,таблица,8,0)),рем_содер,4,0)</f>
        <v>#N/A</v>
      </c>
      <c r="B12" s="450"/>
      <c r="C12" s="450"/>
      <c r="D12" s="450"/>
      <c r="E12" s="193"/>
      <c r="G12" s="211"/>
      <c r="H12" s="211"/>
      <c r="I12" s="46" t="e">
        <f>A12</f>
        <v>#N/A</v>
      </c>
      <c r="J12" s="37">
        <v>1</v>
      </c>
    </row>
    <row r="13" spans="1:11" s="37" customFormat="1" hidden="1" x14ac:dyDescent="0.25">
      <c r="A13" s="450" t="e">
        <f>VLOOKUP((VLOOKUP($F$1,таблица,8,0)),рем_содер,5,0)</f>
        <v>#N/A</v>
      </c>
      <c r="B13" s="450"/>
      <c r="C13" s="450"/>
      <c r="D13" s="450"/>
      <c r="E13" s="193"/>
      <c r="G13" s="211"/>
      <c r="H13" s="211"/>
      <c r="I13" s="198" t="e">
        <f>A13</f>
        <v>#N/A</v>
      </c>
      <c r="J13" s="37">
        <v>1</v>
      </c>
    </row>
    <row r="14" spans="1:11" s="201" customFormat="1" ht="5.25" hidden="1" x14ac:dyDescent="0.15">
      <c r="A14" s="204"/>
      <c r="B14" s="199"/>
      <c r="C14" s="199"/>
      <c r="D14" s="199"/>
      <c r="E14" s="200"/>
      <c r="G14" s="212"/>
      <c r="H14" s="212"/>
      <c r="I14" s="202"/>
      <c r="J14" s="201">
        <v>1</v>
      </c>
    </row>
    <row r="15" spans="1:11" s="37" customFormat="1" hidden="1" x14ac:dyDescent="0.25">
      <c r="A15" s="203" t="s">
        <v>218</v>
      </c>
      <c r="B15" s="194"/>
      <c r="C15" s="194"/>
      <c r="D15" s="194"/>
      <c r="E15" s="193"/>
      <c r="G15" s="211"/>
      <c r="H15" s="211"/>
      <c r="I15" s="46"/>
      <c r="J15" s="37">
        <v>1</v>
      </c>
    </row>
    <row r="16" spans="1:11" hidden="1" x14ac:dyDescent="0.25">
      <c r="A16" s="447" t="s">
        <v>219</v>
      </c>
      <c r="B16" s="447"/>
      <c r="C16" s="447"/>
      <c r="D16" s="447"/>
      <c r="I16" s="18"/>
      <c r="J16" s="105">
        <v>1</v>
      </c>
      <c r="K16" s="37"/>
    </row>
    <row r="17" spans="1:19" s="64" customFormat="1" ht="31.5" hidden="1" x14ac:dyDescent="0.25">
      <c r="A17" s="205" t="s">
        <v>111</v>
      </c>
      <c r="B17" s="205" t="s">
        <v>167</v>
      </c>
      <c r="C17" s="451" t="e">
        <f>CONCATENATE("Стоимость  согласно сметной документации (руб.) в текущих ценах по состоянию на ",VLOOKUP($F$1,таблица,5,0)," г.")</f>
        <v>#N/A</v>
      </c>
      <c r="D17" s="452"/>
      <c r="F17" s="105"/>
      <c r="G17" s="179"/>
      <c r="H17" s="218" t="e">
        <f>C17</f>
        <v>#N/A</v>
      </c>
      <c r="I17" s="18"/>
      <c r="J17" s="64">
        <v>1</v>
      </c>
      <c r="K17" s="41"/>
    </row>
    <row r="18" spans="1:19" s="64" customFormat="1" hidden="1" x14ac:dyDescent="0.2">
      <c r="A18" s="207">
        <v>1</v>
      </c>
      <c r="B18" s="206" t="s">
        <v>68</v>
      </c>
      <c r="C18" s="453" t="e">
        <f>VLOOKUP($F$1,таблица,10,0)</f>
        <v>#N/A</v>
      </c>
      <c r="D18" s="454"/>
      <c r="F18" s="105"/>
      <c r="G18" s="179"/>
      <c r="H18" s="179"/>
      <c r="I18" s="18"/>
      <c r="J18" s="64">
        <v>1</v>
      </c>
      <c r="K18" s="41"/>
    </row>
    <row r="19" spans="1:19" s="64" customFormat="1" hidden="1" x14ac:dyDescent="0.2">
      <c r="A19" s="207">
        <v>2</v>
      </c>
      <c r="B19" s="206" t="s">
        <v>58</v>
      </c>
      <c r="C19" s="453" t="e">
        <f>VLOOKUP($F$1,таблица,11,0)</f>
        <v>#N/A</v>
      </c>
      <c r="D19" s="454"/>
      <c r="F19" s="105"/>
      <c r="G19" s="179"/>
      <c r="H19" s="179"/>
      <c r="I19" s="18"/>
      <c r="J19" s="64">
        <v>1</v>
      </c>
      <c r="K19" s="41"/>
    </row>
    <row r="20" spans="1:19" s="64" customFormat="1" ht="31.5" hidden="1" x14ac:dyDescent="0.2">
      <c r="A20" s="207">
        <v>3</v>
      </c>
      <c r="B20" s="206" t="s">
        <v>8</v>
      </c>
      <c r="C20" s="453" t="e">
        <f>VLOOKUP($F$1,таблица,12,0)</f>
        <v>#N/A</v>
      </c>
      <c r="D20" s="454"/>
      <c r="F20" s="105"/>
      <c r="G20" s="179"/>
      <c r="H20" s="179"/>
      <c r="I20" s="18"/>
      <c r="J20" s="64">
        <v>1</v>
      </c>
    </row>
    <row r="21" spans="1:19" s="64" customFormat="1" hidden="1" x14ac:dyDescent="0.2">
      <c r="A21" s="207">
        <v>4</v>
      </c>
      <c r="B21" s="206" t="s">
        <v>59</v>
      </c>
      <c r="C21" s="453" t="e">
        <f>VLOOKUP($F$1,таблица,13,0)</f>
        <v>#N/A</v>
      </c>
      <c r="D21" s="454"/>
      <c r="F21" s="105"/>
      <c r="G21" s="179"/>
      <c r="H21" s="179"/>
      <c r="I21" s="18"/>
      <c r="J21" s="64">
        <v>1</v>
      </c>
    </row>
    <row r="22" spans="1:19" s="64" customFormat="1" hidden="1" x14ac:dyDescent="0.2">
      <c r="A22" s="207">
        <v>5</v>
      </c>
      <c r="B22" s="206" t="s">
        <v>14</v>
      </c>
      <c r="C22" s="453" t="e">
        <f>VLOOKUP($F$1,таблица,14,0)</f>
        <v>#N/A</v>
      </c>
      <c r="D22" s="454"/>
      <c r="F22" s="105"/>
      <c r="G22" s="179"/>
      <c r="H22" s="179"/>
      <c r="I22" s="18"/>
      <c r="J22" s="64">
        <v>1</v>
      </c>
    </row>
    <row r="23" spans="1:19" s="64" customFormat="1" hidden="1" x14ac:dyDescent="0.2">
      <c r="A23" s="207">
        <v>6</v>
      </c>
      <c r="B23" s="206" t="s">
        <v>23</v>
      </c>
      <c r="C23" s="453" t="e">
        <f>VLOOKUP($F$1,таблица,18,0)</f>
        <v>#N/A</v>
      </c>
      <c r="D23" s="454"/>
      <c r="F23" s="105"/>
      <c r="G23" s="179"/>
      <c r="H23" s="179"/>
      <c r="I23" s="18"/>
      <c r="J23" s="64">
        <v>1</v>
      </c>
    </row>
    <row r="24" spans="1:19" s="64" customFormat="1" hidden="1" x14ac:dyDescent="0.2">
      <c r="A24" s="207">
        <v>7</v>
      </c>
      <c r="B24" s="206" t="s">
        <v>156</v>
      </c>
      <c r="C24" s="453" t="e">
        <f>VLOOKUP($F$1,таблица,19,0)+VLOOKUP($F$1,таблица,21,0)+VLOOKUP($F$1,таблица,22,0)+VLOOKUP($F$1,таблица,23,0)+VLOOKUP($F$1,таблица,24,0)+VLOOKUP($F$1,таблица,25,0)+VLOOKUP($F$1,таблица,26,0)</f>
        <v>#N/A</v>
      </c>
      <c r="D24" s="454"/>
      <c r="F24" s="105"/>
      <c r="G24" s="179"/>
      <c r="H24" s="179"/>
      <c r="I24" s="18"/>
      <c r="J24" s="64">
        <v>1</v>
      </c>
      <c r="L24" s="312"/>
    </row>
    <row r="25" spans="1:19" s="64" customFormat="1" hidden="1" x14ac:dyDescent="0.2">
      <c r="A25" s="207">
        <v>8</v>
      </c>
      <c r="B25" s="206" t="s">
        <v>101</v>
      </c>
      <c r="C25" s="453" t="e">
        <f>VLOOKUP($F$1,таблица,31,0)</f>
        <v>#N/A</v>
      </c>
      <c r="D25" s="454"/>
      <c r="F25" s="105"/>
      <c r="G25" s="179"/>
      <c r="H25" s="179"/>
      <c r="I25" s="18"/>
      <c r="J25" s="64">
        <v>1</v>
      </c>
    </row>
    <row r="26" spans="1:19" s="64" customFormat="1" hidden="1" x14ac:dyDescent="0.2">
      <c r="A26" s="207">
        <v>9</v>
      </c>
      <c r="B26" s="206" t="s">
        <v>241</v>
      </c>
      <c r="C26" s="453" t="e">
        <f>SUM(C18:D25)</f>
        <v>#N/A</v>
      </c>
      <c r="D26" s="454"/>
      <c r="F26" s="230" t="e">
        <f>VLOOKUP($F$1,таблица,36,0)</f>
        <v>#N/A</v>
      </c>
      <c r="G26" s="179"/>
      <c r="H26" s="179"/>
      <c r="I26" s="18"/>
      <c r="J26" s="64">
        <v>1</v>
      </c>
    </row>
    <row r="27" spans="1:19" hidden="1" x14ac:dyDescent="0.25">
      <c r="A27" s="448" t="s">
        <v>231</v>
      </c>
      <c r="B27" s="448"/>
      <c r="C27" s="448"/>
      <c r="D27" s="448"/>
      <c r="J27" s="105">
        <v>1</v>
      </c>
    </row>
    <row r="28" spans="1:19" ht="31.5" hidden="1" x14ac:dyDescent="0.25">
      <c r="A28" s="209" t="s">
        <v>111</v>
      </c>
      <c r="B28" s="205" t="s">
        <v>36</v>
      </c>
      <c r="C28" s="205" t="s">
        <v>221</v>
      </c>
      <c r="D28" s="205" t="s">
        <v>168</v>
      </c>
      <c r="J28" s="105">
        <v>1</v>
      </c>
    </row>
    <row r="29" spans="1:19" s="64" customFormat="1" hidden="1" x14ac:dyDescent="0.2">
      <c r="A29" s="207">
        <v>10</v>
      </c>
      <c r="B29" s="207" t="e">
        <f>VLOOKUP((VLOOKUP($F$1,таблица,8,0)),рем_содер,2,0)</f>
        <v>#N/A</v>
      </c>
      <c r="C29" s="207"/>
      <c r="D29" s="206"/>
      <c r="F29" s="105"/>
      <c r="G29" s="179"/>
      <c r="H29" s="179"/>
      <c r="I29" s="18"/>
      <c r="J29" s="64">
        <v>1</v>
      </c>
    </row>
    <row r="30" spans="1:19" s="64" customFormat="1" hidden="1" x14ac:dyDescent="0.2">
      <c r="A30" s="207" t="e">
        <f>IF(D30=0,0,A29+1)</f>
        <v>#N/A</v>
      </c>
      <c r="B30" s="206" t="e">
        <f>CONCATENATE("2015 г (",CHOOSE(VLOOKUP(F$1,таблица,63,0),"Январь","Февраль","Март","Апрель","Май","Июнь","Июль","Август","Сентябрь","Октябрь","Ноябрь","Декабрь")," - ",CHOOSE(VLOOKUP(F$1,таблица,64,0),"Январь","Февраль","Март","Апрель","Май","Июнь","Июль","Август","Сентябрь","Октябрь","Ноябрь","Декабрь"),")")</f>
        <v>#N/A</v>
      </c>
      <c r="C30" s="207" t="s">
        <v>222</v>
      </c>
      <c r="D30" s="229" t="e">
        <f>IF(D32=0,0,VLOOKUP($F$1,таблица,69,0)*100+100)</f>
        <v>#N/A</v>
      </c>
      <c r="F30" s="105"/>
      <c r="G30" s="179"/>
      <c r="H30" s="179"/>
      <c r="I30" s="18"/>
      <c r="J30" s="64" t="e">
        <f>IF(D30=0,"",1)</f>
        <v>#N/A</v>
      </c>
    </row>
    <row r="31" spans="1:19" s="64" customFormat="1" hidden="1" x14ac:dyDescent="0.2">
      <c r="A31" s="207" t="e">
        <f>IF(D31=0,0,IF(D30=0,A29+1,A30+1))</f>
        <v>#N/A</v>
      </c>
      <c r="B31" s="206" t="e">
        <f>CONCATENATE("2016 г (",CHOOSE(VLOOKUP(F$1,таблица,65,0),"Январь","Февраль","Март","Апрель","Май","Июнь","Июль","Август","Сентябрь","Октябрь","Ноябрь","Декабрь")," - ",CHOOSE(VLOOKUP(F$1,таблица,66,0),"Январь","Февраль","Март","Апрель","Май","Июнь","Июль","Август","Сентябрь","Октябрь","Ноябрь","Декабрь"),")")</f>
        <v>#N/A</v>
      </c>
      <c r="C31" s="207" t="s">
        <v>222</v>
      </c>
      <c r="D31" s="229" t="e">
        <f>IF(D33=0,0,VLOOKUP($F$1,таблица,70,0)*100+100)</f>
        <v>#N/A</v>
      </c>
      <c r="F31" s="131"/>
      <c r="G31" s="213"/>
      <c r="H31" s="213"/>
      <c r="I31" s="18"/>
      <c r="J31" s="64" t="e">
        <f>IF(D31=0,"",1)</f>
        <v>#N/A</v>
      </c>
    </row>
    <row r="32" spans="1:19" s="64" customFormat="1" hidden="1" x14ac:dyDescent="0.2">
      <c r="A32" s="207" t="e">
        <f>IF(D32=0,0,IF(D31=0,A30+1,A31+1))</f>
        <v>#N/A</v>
      </c>
      <c r="B32" s="206" t="s">
        <v>223</v>
      </c>
      <c r="C32" s="207" t="s">
        <v>224</v>
      </c>
      <c r="D32" s="208" t="e">
        <f>VLOOKUP($F$1,таблица,46,0)</f>
        <v>#N/A</v>
      </c>
      <c r="F32" s="105"/>
      <c r="G32" s="179"/>
      <c r="H32" s="179"/>
      <c r="I32" s="18"/>
      <c r="J32" s="64" t="e">
        <f t="shared" ref="J32:J33" si="0">IF(D32=0,"",1)</f>
        <v>#N/A</v>
      </c>
      <c r="L32" s="313" t="e">
        <f>$D$37/$D$41</f>
        <v>#N/A</v>
      </c>
      <c r="M32" s="64" t="e">
        <f t="shared" ref="M32:M41" si="1">ROUND($O32*$D$41,0)=$D$37</f>
        <v>#N/A</v>
      </c>
      <c r="N32" s="64" t="e">
        <f t="shared" ref="N32:N38" si="2">CONCATENATE(M32,S32)</f>
        <v>#N/A</v>
      </c>
      <c r="O32" s="314" t="e">
        <f>ROUND($L$32,1)</f>
        <v>#N/A</v>
      </c>
      <c r="P32" s="64" t="e">
        <f>ROUND($R32*$D$41,0)=$D$40</f>
        <v>#N/A</v>
      </c>
      <c r="Q32" s="64" t="e">
        <f t="shared" ref="Q32:Q38" si="3">CONCATENATE(P32,S31)</f>
        <v>#N/A</v>
      </c>
      <c r="R32" s="314" t="e">
        <f>ROUND($L$33,1)</f>
        <v>#N/A</v>
      </c>
      <c r="S32" s="64" t="e">
        <f>M32=P32</f>
        <v>#N/A</v>
      </c>
    </row>
    <row r="33" spans="1:19" s="64" customFormat="1" hidden="1" x14ac:dyDescent="0.2">
      <c r="A33" s="207" t="e">
        <f>IF(D33=0,0,IF(D32=0,A31+1,A32+1))</f>
        <v>#N/A</v>
      </c>
      <c r="B33" s="206" t="s">
        <v>351</v>
      </c>
      <c r="C33" s="207" t="s">
        <v>224</v>
      </c>
      <c r="D33" s="208" t="e">
        <f>VLOOKUP($F$1,таблица,56,0)</f>
        <v>#N/A</v>
      </c>
      <c r="F33" s="105"/>
      <c r="G33" s="179"/>
      <c r="H33" s="179"/>
      <c r="I33" s="18"/>
      <c r="J33" s="64" t="e">
        <f t="shared" si="0"/>
        <v>#N/A</v>
      </c>
      <c r="L33" s="313" t="e">
        <f>$D$40/$D$41</f>
        <v>#N/A</v>
      </c>
      <c r="M33" s="64" t="e">
        <f t="shared" si="1"/>
        <v>#N/A</v>
      </c>
      <c r="N33" s="64" t="e">
        <f t="shared" si="2"/>
        <v>#N/A</v>
      </c>
      <c r="O33" s="314" t="e">
        <f>ROUND($L$32,2)</f>
        <v>#N/A</v>
      </c>
      <c r="P33" s="64" t="e">
        <f t="shared" ref="P33:P43" si="4">ROUND($R33*$D$41,0)=$D$40</f>
        <v>#N/A</v>
      </c>
      <c r="Q33" s="64" t="e">
        <f t="shared" si="3"/>
        <v>#N/A</v>
      </c>
      <c r="R33" s="314" t="e">
        <f>ROUND($L$33,2)</f>
        <v>#N/A</v>
      </c>
      <c r="S33" s="64" t="e">
        <f t="shared" ref="S33:S43" si="5">M33=P33</f>
        <v>#N/A</v>
      </c>
    </row>
    <row r="34" spans="1:19" hidden="1" x14ac:dyDescent="0.25">
      <c r="A34" s="448" t="s">
        <v>225</v>
      </c>
      <c r="B34" s="448"/>
      <c r="C34" s="448"/>
      <c r="D34" s="448"/>
      <c r="J34" s="105">
        <v>1</v>
      </c>
      <c r="L34" s="64"/>
      <c r="M34" s="64" t="e">
        <f t="shared" si="1"/>
        <v>#N/A</v>
      </c>
      <c r="N34" s="64" t="e">
        <f t="shared" si="2"/>
        <v>#N/A</v>
      </c>
      <c r="O34" s="314" t="e">
        <f>ROUND($L$32,3)</f>
        <v>#N/A</v>
      </c>
      <c r="P34" s="64" t="e">
        <f t="shared" si="4"/>
        <v>#N/A</v>
      </c>
      <c r="Q34" s="64" t="e">
        <f t="shared" si="3"/>
        <v>#N/A</v>
      </c>
      <c r="R34" s="314" t="e">
        <f>ROUND($L$33,3)</f>
        <v>#N/A</v>
      </c>
      <c r="S34" s="64" t="e">
        <f t="shared" si="5"/>
        <v>#N/A</v>
      </c>
    </row>
    <row r="35" spans="1:19" s="64" customFormat="1" ht="31.5" hidden="1" x14ac:dyDescent="0.2">
      <c r="A35" s="207" t="e">
        <f>IF(D35=0,0,IF(D33=0,IF(D32=0,A29+1,A32+1),A33+1))</f>
        <v>#N/A</v>
      </c>
      <c r="B35" s="219" t="s">
        <v>275</v>
      </c>
      <c r="C35" s="207" t="s">
        <v>224</v>
      </c>
      <c r="D35" s="208" t="e">
        <f>SUM(VLOOKUP($F$1,таблица,41,0),D32)</f>
        <v>#N/A</v>
      </c>
      <c r="F35" s="105"/>
      <c r="G35" s="179"/>
      <c r="H35" s="179"/>
      <c r="I35" s="18"/>
      <c r="J35" s="64" t="e">
        <f t="shared" ref="J35:J40" si="6">IF(D35=0,"",1)</f>
        <v>#N/A</v>
      </c>
      <c r="M35" s="64" t="e">
        <f t="shared" si="1"/>
        <v>#N/A</v>
      </c>
      <c r="N35" s="64" t="e">
        <f t="shared" si="2"/>
        <v>#N/A</v>
      </c>
      <c r="O35" s="314" t="e">
        <f>ROUND($L$32,4)</f>
        <v>#N/A</v>
      </c>
      <c r="P35" s="64" t="e">
        <f t="shared" si="4"/>
        <v>#N/A</v>
      </c>
      <c r="Q35" s="64" t="e">
        <f t="shared" si="3"/>
        <v>#N/A</v>
      </c>
      <c r="R35" s="314" t="e">
        <f>ROUND($L$33,4)</f>
        <v>#N/A</v>
      </c>
      <c r="S35" s="64" t="e">
        <f t="shared" si="5"/>
        <v>#N/A</v>
      </c>
    </row>
    <row r="36" spans="1:19" s="64" customFormat="1" ht="16.5" hidden="1" thickBot="1" x14ac:dyDescent="0.25">
      <c r="A36" s="207" t="e">
        <f>IF(D36=0,0,A35+1)</f>
        <v>#N/A</v>
      </c>
      <c r="B36" s="219" t="s">
        <v>227</v>
      </c>
      <c r="C36" s="207" t="s">
        <v>224</v>
      </c>
      <c r="D36" s="208" t="e">
        <f>VLOOKUP($F$1,таблица,51,0)</f>
        <v>#N/A</v>
      </c>
      <c r="F36" s="105"/>
      <c r="G36" s="179"/>
      <c r="H36" s="214"/>
      <c r="I36" s="18"/>
      <c r="J36" s="64" t="e">
        <f t="shared" si="6"/>
        <v>#N/A</v>
      </c>
      <c r="M36" s="64" t="e">
        <f t="shared" si="1"/>
        <v>#N/A</v>
      </c>
      <c r="N36" s="64" t="e">
        <f t="shared" si="2"/>
        <v>#N/A</v>
      </c>
      <c r="O36" s="314" t="e">
        <f>ROUND($L$32,5)</f>
        <v>#N/A</v>
      </c>
      <c r="P36" s="64" t="e">
        <f t="shared" si="4"/>
        <v>#N/A</v>
      </c>
      <c r="Q36" s="64" t="e">
        <f t="shared" si="3"/>
        <v>#N/A</v>
      </c>
      <c r="R36" s="314" t="e">
        <f>ROUND($L$33,5)</f>
        <v>#N/A</v>
      </c>
      <c r="S36" s="64" t="e">
        <f t="shared" si="5"/>
        <v>#N/A</v>
      </c>
    </row>
    <row r="37" spans="1:19" s="64" customFormat="1" ht="16.5" hidden="1" thickBot="1" x14ac:dyDescent="0.3">
      <c r="A37" s="207" t="e">
        <f>IF(D37=0,0,A36+1)</f>
        <v>#N/A</v>
      </c>
      <c r="B37" s="219" t="s">
        <v>274</v>
      </c>
      <c r="C37" s="207" t="s">
        <v>224</v>
      </c>
      <c r="D37" s="319" t="e">
        <f>SUM(D35:D36)</f>
        <v>#N/A</v>
      </c>
      <c r="E37" s="320" t="e">
        <f>IF(D33=0,0,VLOOKUP("ИСТИНАИСТИНА",N32:O43,2,0))</f>
        <v>#N/A</v>
      </c>
      <c r="F37" s="230" t="e">
        <f>VLOOKUP($F$1,таблица,71,0)</f>
        <v>#N/A</v>
      </c>
      <c r="G37" s="179"/>
      <c r="H37" s="214"/>
      <c r="I37" s="18"/>
      <c r="J37" s="64" t="e">
        <f t="shared" si="6"/>
        <v>#N/A</v>
      </c>
      <c r="L37" s="37"/>
      <c r="M37" s="64" t="e">
        <f t="shared" si="1"/>
        <v>#N/A</v>
      </c>
      <c r="N37" s="64" t="e">
        <f t="shared" si="2"/>
        <v>#N/A</v>
      </c>
      <c r="O37" s="314" t="e">
        <f>ROUND($L$32,6)</f>
        <v>#N/A</v>
      </c>
      <c r="P37" s="64" t="e">
        <f t="shared" si="4"/>
        <v>#N/A</v>
      </c>
      <c r="Q37" s="64" t="e">
        <f t="shared" si="3"/>
        <v>#N/A</v>
      </c>
      <c r="R37" s="314" t="e">
        <f>ROUND($L$33,6)</f>
        <v>#N/A</v>
      </c>
      <c r="S37" s="64" t="e">
        <f t="shared" si="5"/>
        <v>#N/A</v>
      </c>
    </row>
    <row r="38" spans="1:19" s="64" customFormat="1" ht="31.5" hidden="1" x14ac:dyDescent="0.2">
      <c r="A38" s="207" t="e">
        <f>IF(D38=0,0,IF(D37=0,IF(D33=0,A29+1,A33+1),A37+1))</f>
        <v>#N/A</v>
      </c>
      <c r="B38" s="219" t="s">
        <v>349</v>
      </c>
      <c r="C38" s="207" t="s">
        <v>224</v>
      </c>
      <c r="D38" s="208" t="e">
        <f>VLOOKUP($F$1,таблица,36,0)-VLOOKUP($F$1,таблица,41,0)+D33</f>
        <v>#N/A</v>
      </c>
      <c r="E38" s="321"/>
      <c r="F38" s="105"/>
      <c r="G38" s="179"/>
      <c r="H38" s="214"/>
      <c r="I38" s="18"/>
      <c r="J38" s="64" t="e">
        <f t="shared" si="6"/>
        <v>#N/A</v>
      </c>
      <c r="L38" s="124"/>
      <c r="M38" s="64" t="e">
        <f t="shared" si="1"/>
        <v>#N/A</v>
      </c>
      <c r="N38" s="64" t="e">
        <f t="shared" si="2"/>
        <v>#N/A</v>
      </c>
      <c r="O38" s="314" t="e">
        <f>ROUND($L$32,7)</f>
        <v>#N/A</v>
      </c>
      <c r="P38" s="64" t="e">
        <f t="shared" si="4"/>
        <v>#N/A</v>
      </c>
      <c r="Q38" s="64" t="e">
        <f t="shared" si="3"/>
        <v>#N/A</v>
      </c>
      <c r="R38" s="314" t="e">
        <f>ROUND($L$33,7)</f>
        <v>#N/A</v>
      </c>
      <c r="S38" s="64" t="e">
        <f t="shared" si="5"/>
        <v>#N/A</v>
      </c>
    </row>
    <row r="39" spans="1:19" s="64" customFormat="1" ht="16.5" hidden="1" thickBot="1" x14ac:dyDescent="0.25">
      <c r="A39" s="207" t="e">
        <f>IF(D39=0,0,A38+1)</f>
        <v>#N/A</v>
      </c>
      <c r="B39" s="219" t="s">
        <v>227</v>
      </c>
      <c r="C39" s="207" t="s">
        <v>224</v>
      </c>
      <c r="D39" s="208" t="e">
        <f>VLOOKUP($F$1,таблица,61,0)</f>
        <v>#N/A</v>
      </c>
      <c r="E39" s="321"/>
      <c r="F39" s="105"/>
      <c r="G39" s="179"/>
      <c r="H39" s="214"/>
      <c r="I39" s="18"/>
      <c r="J39" s="64" t="e">
        <f t="shared" si="6"/>
        <v>#N/A</v>
      </c>
      <c r="L39" s="226"/>
      <c r="M39" s="64" t="e">
        <f t="shared" si="1"/>
        <v>#N/A</v>
      </c>
      <c r="N39" s="64" t="e">
        <f>CONCATENATE(M39,S39)</f>
        <v>#N/A</v>
      </c>
      <c r="O39" s="314" t="e">
        <f>ROUND($L$32,8)</f>
        <v>#N/A</v>
      </c>
      <c r="P39" s="64" t="e">
        <f t="shared" si="4"/>
        <v>#N/A</v>
      </c>
      <c r="Q39" s="64" t="e">
        <f>CONCATENATE(P39,S38)</f>
        <v>#N/A</v>
      </c>
      <c r="R39" s="314" t="e">
        <f>ROUND($L$33,8)</f>
        <v>#N/A</v>
      </c>
      <c r="S39" s="64" t="e">
        <f t="shared" si="5"/>
        <v>#N/A</v>
      </c>
    </row>
    <row r="40" spans="1:19" s="64" customFormat="1" ht="16.5" hidden="1" thickBot="1" x14ac:dyDescent="0.3">
      <c r="A40" s="207" t="e">
        <f>IF(D40=0,0,A39+1)</f>
        <v>#N/A</v>
      </c>
      <c r="B40" s="219" t="s">
        <v>350</v>
      </c>
      <c r="C40" s="207" t="s">
        <v>224</v>
      </c>
      <c r="D40" s="319" t="e">
        <f>SUM(D38:D39)</f>
        <v>#N/A</v>
      </c>
      <c r="E40" s="320" t="e">
        <f>IF(D33=0,0,VLOOKUP("ИСТИНАИСТИНА",Q32:R43,2,0))</f>
        <v>#N/A</v>
      </c>
      <c r="F40" s="230" t="e">
        <f>VLOOKUP($F$1,таблица,72,0)</f>
        <v>#N/A</v>
      </c>
      <c r="G40" s="179"/>
      <c r="H40" s="215"/>
      <c r="I40" s="18"/>
      <c r="J40" s="64" t="e">
        <f t="shared" si="6"/>
        <v>#N/A</v>
      </c>
      <c r="L40" s="37"/>
      <c r="M40" s="64" t="e">
        <f t="shared" si="1"/>
        <v>#N/A</v>
      </c>
      <c r="N40" s="64" t="e">
        <f t="shared" ref="N40:N43" si="7">CONCATENATE(M40,S40)</f>
        <v>#N/A</v>
      </c>
      <c r="O40" s="317" t="e">
        <f>ROUND($L$32,9)</f>
        <v>#N/A</v>
      </c>
      <c r="P40" s="64" t="e">
        <f t="shared" si="4"/>
        <v>#N/A</v>
      </c>
      <c r="Q40" s="64" t="e">
        <f t="shared" ref="Q40:Q43" si="8">CONCATENATE(P40,S39)</f>
        <v>#N/A</v>
      </c>
      <c r="R40" s="314" t="e">
        <f>ROUND($L$33,9)</f>
        <v>#N/A</v>
      </c>
      <c r="S40" s="64" t="e">
        <f t="shared" si="5"/>
        <v>#N/A</v>
      </c>
    </row>
    <row r="41" spans="1:19" s="64" customFormat="1" hidden="1" x14ac:dyDescent="0.25">
      <c r="A41" s="207" t="e">
        <f>IF(D41=0,0,A40+1)</f>
        <v>#N/A</v>
      </c>
      <c r="B41" s="219" t="s">
        <v>226</v>
      </c>
      <c r="C41" s="207" t="s">
        <v>224</v>
      </c>
      <c r="D41" s="220" t="e">
        <f>IF(OR(D37=0,D40=0),0,D40+D37)</f>
        <v>#N/A</v>
      </c>
      <c r="E41" s="37"/>
      <c r="F41" s="230" t="e">
        <f>VLOOKUP($F$1,таблица,62,0)</f>
        <v>#N/A</v>
      </c>
      <c r="G41" s="179"/>
      <c r="H41" s="216"/>
      <c r="I41" s="17"/>
      <c r="J41" s="64" t="e">
        <f>IF(D41=0,"",1)</f>
        <v>#N/A</v>
      </c>
      <c r="L41" s="37"/>
      <c r="M41" s="64" t="e">
        <f t="shared" si="1"/>
        <v>#N/A</v>
      </c>
      <c r="N41" s="64" t="e">
        <f t="shared" si="7"/>
        <v>#N/A</v>
      </c>
      <c r="O41" s="313" t="e">
        <f>ROUND($L$32,10)</f>
        <v>#N/A</v>
      </c>
      <c r="P41" s="64" t="e">
        <f t="shared" si="4"/>
        <v>#N/A</v>
      </c>
      <c r="Q41" s="64" t="e">
        <f t="shared" si="8"/>
        <v>#N/A</v>
      </c>
      <c r="R41" s="313" t="e">
        <f>ROUND($L$33,10)</f>
        <v>#N/A</v>
      </c>
      <c r="S41" s="64" t="e">
        <f t="shared" si="5"/>
        <v>#N/A</v>
      </c>
    </row>
    <row r="42" spans="1:19" s="37" customFormat="1" hidden="1" x14ac:dyDescent="0.25">
      <c r="A42" s="132"/>
      <c r="B42" s="132"/>
      <c r="C42" s="132"/>
      <c r="D42" s="133"/>
      <c r="F42" s="105"/>
      <c r="G42" s="179"/>
      <c r="H42" s="216"/>
      <c r="I42" s="17"/>
      <c r="J42" s="37">
        <v>1</v>
      </c>
      <c r="M42" s="64" t="e">
        <f t="shared" ref="M42:M43" si="9">ROUND($O42*$D$41,0)=$D$37</f>
        <v>#N/A</v>
      </c>
      <c r="N42" s="64" t="e">
        <f t="shared" si="7"/>
        <v>#N/A</v>
      </c>
      <c r="O42" s="316" t="e">
        <f>ROUND($L$32,11)</f>
        <v>#N/A</v>
      </c>
      <c r="P42" s="64" t="e">
        <f t="shared" si="4"/>
        <v>#N/A</v>
      </c>
      <c r="Q42" s="64" t="e">
        <f t="shared" si="8"/>
        <v>#N/A</v>
      </c>
      <c r="R42" s="316" t="e">
        <f>ROUND($L$33,11)</f>
        <v>#N/A</v>
      </c>
      <c r="S42" s="64" t="e">
        <f t="shared" si="5"/>
        <v>#N/A</v>
      </c>
    </row>
    <row r="43" spans="1:19" s="124" customFormat="1" ht="48.75" hidden="1" customHeight="1" x14ac:dyDescent="0.25">
      <c r="A43" s="446" t="s">
        <v>330</v>
      </c>
      <c r="B43" s="446"/>
      <c r="C43" s="221"/>
      <c r="D43" s="222" t="s">
        <v>234</v>
      </c>
      <c r="E43" s="134"/>
      <c r="G43" s="217" t="str">
        <f>A43</f>
        <v>Начальник отдела формирования начальной
максимальной цены контракта управления
контрактной службы</v>
      </c>
      <c r="H43" s="217"/>
      <c r="I43" s="17"/>
      <c r="J43" s="124">
        <v>1</v>
      </c>
      <c r="M43" s="64" t="e">
        <f t="shared" si="9"/>
        <v>#N/A</v>
      </c>
      <c r="N43" s="64" t="e">
        <f t="shared" si="7"/>
        <v>#N/A</v>
      </c>
      <c r="O43" s="318" t="e">
        <f>ROUND($L$32,12)</f>
        <v>#N/A</v>
      </c>
      <c r="P43" s="64" t="e">
        <f t="shared" si="4"/>
        <v>#N/A</v>
      </c>
      <c r="Q43" s="64" t="e">
        <f t="shared" si="8"/>
        <v>#N/A</v>
      </c>
      <c r="R43" s="314" t="e">
        <f>ROUND($L$33,12)</f>
        <v>#N/A</v>
      </c>
      <c r="S43" s="64" t="e">
        <f t="shared" si="5"/>
        <v>#N/A</v>
      </c>
    </row>
    <row r="44" spans="1:19" s="226" customFormat="1" ht="5.25" hidden="1" x14ac:dyDescent="0.15">
      <c r="A44" s="223"/>
      <c r="B44" s="223"/>
      <c r="C44" s="223"/>
      <c r="D44" s="224"/>
      <c r="E44" s="225"/>
      <c r="G44" s="227"/>
      <c r="H44" s="227"/>
      <c r="I44" s="228"/>
      <c r="J44" s="226">
        <v>1</v>
      </c>
    </row>
    <row r="45" spans="1:19" s="37" customFormat="1" hidden="1" x14ac:dyDescent="0.25">
      <c r="A45" s="449">
        <f ca="1">TODAY()</f>
        <v>42101</v>
      </c>
      <c r="B45" s="449"/>
      <c r="E45" s="135"/>
      <c r="G45" s="211"/>
      <c r="H45" s="211"/>
      <c r="I45" s="17"/>
      <c r="J45" s="37">
        <v>1</v>
      </c>
    </row>
    <row r="46" spans="1:19" s="37" customFormat="1" hidden="1" x14ac:dyDescent="0.25">
      <c r="E46" s="135"/>
      <c r="G46" s="211"/>
      <c r="H46" s="211"/>
      <c r="I46" s="17"/>
      <c r="J46" s="37">
        <v>1</v>
      </c>
    </row>
    <row r="47" spans="1:19" hidden="1" x14ac:dyDescent="0.25"/>
    <row r="49" spans="1:4" x14ac:dyDescent="0.25">
      <c r="A49" s="63"/>
      <c r="B49" s="315"/>
      <c r="C49" s="63"/>
      <c r="D49" s="63"/>
    </row>
    <row r="50" spans="1:4" x14ac:dyDescent="0.25">
      <c r="A50" s="63"/>
      <c r="B50" s="315"/>
      <c r="C50" s="63"/>
      <c r="D50" s="63"/>
    </row>
    <row r="51" spans="1:4" x14ac:dyDescent="0.25">
      <c r="A51" s="63"/>
      <c r="B51" s="63"/>
      <c r="C51" s="63"/>
      <c r="D51" s="63"/>
    </row>
  </sheetData>
  <sheetProtection password="CAE6" sheet="1" objects="1" scenarios="1"/>
  <autoFilter ref="J1:J47"/>
  <customSheetViews>
    <customSheetView guid="{76AC8A47-0222-474F-85DA-9CB477F01022}" showGridLines="0" zeroValues="0" fitToPage="1" hiddenColumns="1">
      <selection activeCell="E4" sqref="E4"/>
      <pageMargins left="0.59055118110236227" right="0.19685039370078741" top="0" bottom="0.19685039370078741" header="0.51181102362204722" footer="0.51181102362204722"/>
      <printOptions horizontalCentered="1"/>
      <pageSetup paperSize="9" orientation="portrait" r:id="rId1"/>
      <headerFooter alignWithMargins="0"/>
    </customSheetView>
    <customSheetView guid="{4A5FEB23-9FEA-4E9B-A143-FBC359C68DA8}" showPageBreaks="1" showGridLines="0" zeroValues="0" fitToPage="1" printArea="1" hiddenRows="1" hiddenColumns="1" showRuler="0">
      <selection activeCell="E3" sqref="E3"/>
      <pageMargins left="0.59055118110236227" right="0.19685039370078741" top="0" bottom="0.19685039370078741" header="0.51181102362204722" footer="0.51181102362204722"/>
      <printOptions horizontalCentered="1"/>
      <pageSetup paperSize="9" orientation="portrait" r:id="rId2"/>
      <headerFooter alignWithMargins="0"/>
    </customSheetView>
    <customSheetView guid="{67AC2CBC-2876-4E14-8EE2-582C5F737BC3}" showGridLines="0" zeroValues="0" fitToPage="1" hiddenColumns="1" showRuler="0">
      <selection activeCell="E13" sqref="E13"/>
      <pageMargins left="0.59055118110236227" right="0.19685039370078741" top="0" bottom="0.19685039370078741" header="0.51181102362204722" footer="0.51181102362204722"/>
      <printOptions horizontalCentered="1"/>
      <pageSetup paperSize="9" orientation="portrait" r:id="rId3"/>
      <headerFooter alignWithMargins="0"/>
    </customSheetView>
    <customSheetView guid="{E031E075-6987-4F32-9116-EC6B3E9AF434}" showPageBreaks="1" showGridLines="0" zeroValues="0" fitToPage="1" printArea="1" hiddenColumns="1">
      <selection activeCell="E4" sqref="E4"/>
      <pageMargins left="0.59055118110236227" right="0.19685039370078741" top="0" bottom="0.19685039370078741" header="0.51181102362204722" footer="0.51181102362204722"/>
      <printOptions horizontalCentered="1"/>
      <pageSetup paperSize="9" orientation="portrait" r:id="rId4"/>
      <headerFooter alignWithMargins="0"/>
    </customSheetView>
  </customSheetViews>
  <mergeCells count="19">
    <mergeCell ref="A45:B45"/>
    <mergeCell ref="A12:D12"/>
    <mergeCell ref="A13:D13"/>
    <mergeCell ref="C17:D17"/>
    <mergeCell ref="C26:D26"/>
    <mergeCell ref="C25:D25"/>
    <mergeCell ref="C24:D24"/>
    <mergeCell ref="C23:D23"/>
    <mergeCell ref="C22:D22"/>
    <mergeCell ref="C21:D21"/>
    <mergeCell ref="C20:D20"/>
    <mergeCell ref="C19:D19"/>
    <mergeCell ref="C18:D18"/>
    <mergeCell ref="A8:D8"/>
    <mergeCell ref="A9:D9"/>
    <mergeCell ref="A43:B43"/>
    <mergeCell ref="A16:D16"/>
    <mergeCell ref="A27:D27"/>
    <mergeCell ref="A34:D34"/>
  </mergeCells>
  <phoneticPr fontId="0" type="noConversion"/>
  <conditionalFormatting sqref="F37">
    <cfRule type="cellIs" dxfId="153" priority="5" operator="notEqual">
      <formula>D37</formula>
    </cfRule>
  </conditionalFormatting>
  <conditionalFormatting sqref="F41">
    <cfRule type="cellIs" dxfId="152" priority="3" operator="notEqual">
      <formula>D40+D37</formula>
    </cfRule>
  </conditionalFormatting>
  <conditionalFormatting sqref="F40">
    <cfRule type="cellIs" dxfId="151" priority="2" operator="notEqual">
      <formula>D40</formula>
    </cfRule>
  </conditionalFormatting>
  <conditionalFormatting sqref="F26">
    <cfRule type="cellIs" dxfId="150" priority="1" operator="notEqual">
      <formula>C26</formula>
    </cfRule>
  </conditionalFormatting>
  <printOptions horizontalCentered="1"/>
  <pageMargins left="0.59055118110236227" right="0.19685039370078741" top="0" bottom="0.19685039370078741" header="0.51181102362204722" footer="0.51181102362204722"/>
  <pageSetup paperSize="9" scale="94" orientation="portrait" r:id="rId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 filterMode="1"/>
  <dimension ref="A1:BH1674"/>
  <sheetViews>
    <sheetView showGridLines="0" showZeros="0" tabSelected="1" view="pageBreakPreview" zoomScale="85" zoomScaleNormal="100" zoomScaleSheetLayoutView="85" workbookViewId="0">
      <pane xSplit="4" ySplit="1" topLeftCell="E8" activePane="bottomRight" state="frozen"/>
      <selection pane="topRight" activeCell="D1" sqref="D1"/>
      <selection pane="bottomLeft" activeCell="A2" sqref="A2"/>
      <selection pane="bottomRight" activeCell="BP32" sqref="BP32"/>
    </sheetView>
  </sheetViews>
  <sheetFormatPr defaultColWidth="9.140625" defaultRowHeight="15.75" x14ac:dyDescent="0.25"/>
  <cols>
    <col min="1" max="1" width="4.140625" style="355" customWidth="1"/>
    <col min="2" max="2" width="51.42578125" style="355" customWidth="1"/>
    <col min="3" max="3" width="8.7109375" style="355" customWidth="1"/>
    <col min="4" max="4" width="35.140625" style="355" customWidth="1"/>
    <col min="5" max="5" width="12.5703125" style="355" customWidth="1"/>
    <col min="6" max="6" width="12.28515625" style="355" customWidth="1"/>
    <col min="7" max="7" width="36.28515625" style="355" hidden="1" customWidth="1"/>
    <col min="8" max="8" width="53.7109375" style="359" hidden="1" customWidth="1"/>
    <col min="9" max="9" width="40.7109375" style="359" hidden="1" customWidth="1"/>
    <col min="10" max="10" width="93.7109375" style="357" hidden="1" customWidth="1"/>
    <col min="11" max="11" width="10.85546875" style="355" bestFit="1" customWidth="1"/>
    <col min="12" max="36" width="9.140625" style="355" hidden="1" customWidth="1"/>
    <col min="37" max="37" width="10.85546875" style="355" hidden="1" customWidth="1"/>
    <col min="38" max="60" width="0" style="355" hidden="1" customWidth="1"/>
    <col min="61" max="16384" width="9.140625" style="355"/>
  </cols>
  <sheetData>
    <row r="1" spans="1:60" x14ac:dyDescent="0.25">
      <c r="H1" s="356"/>
      <c r="I1" s="356"/>
    </row>
    <row r="2" spans="1:60" ht="16.5" customHeight="1" x14ac:dyDescent="0.25">
      <c r="D2" s="358" t="s">
        <v>215</v>
      </c>
      <c r="K2" s="355">
        <v>1</v>
      </c>
    </row>
    <row r="3" spans="1:60" ht="30.75" customHeight="1" x14ac:dyDescent="0.25">
      <c r="C3" s="467" t="str">
        <f>'Анализ стоимости'!I55</f>
        <v>Глава Кировского сельского поселения Славянского района</v>
      </c>
      <c r="D3" s="467"/>
      <c r="G3" s="360" t="str">
        <f>C3</f>
        <v>Глава Кировского сельского поселения Славянского района</v>
      </c>
      <c r="K3" s="355">
        <v>1</v>
      </c>
    </row>
    <row r="4" spans="1:60" ht="13.5" customHeight="1" x14ac:dyDescent="0.25">
      <c r="D4" s="358"/>
      <c r="K4" s="355">
        <v>1</v>
      </c>
    </row>
    <row r="5" spans="1:60" x14ac:dyDescent="0.25">
      <c r="D5" s="358" t="str">
        <f>CONCATENATE("________________________ ",'Анализ стоимости'!I56)</f>
        <v>________________________ Е.В.Леонов</v>
      </c>
      <c r="K5" s="355">
        <v>1</v>
      </c>
    </row>
    <row r="6" spans="1:60" ht="11.25" customHeight="1" x14ac:dyDescent="0.25">
      <c r="D6" s="361" t="s">
        <v>216</v>
      </c>
      <c r="K6" s="355">
        <v>1</v>
      </c>
    </row>
    <row r="7" spans="1:60" x14ac:dyDescent="0.25">
      <c r="K7" s="355">
        <v>1</v>
      </c>
    </row>
    <row r="8" spans="1:60" s="362" customFormat="1" ht="18.75" x14ac:dyDescent="0.25">
      <c r="A8" s="457" t="s">
        <v>217</v>
      </c>
      <c r="B8" s="457"/>
      <c r="C8" s="457"/>
      <c r="D8" s="457"/>
      <c r="F8" s="363"/>
      <c r="G8" s="363"/>
      <c r="H8" s="359"/>
      <c r="I8" s="359"/>
      <c r="J8" s="364"/>
      <c r="K8" s="365">
        <v>1</v>
      </c>
    </row>
    <row r="9" spans="1:60" s="371" customFormat="1" ht="78.75" x14ac:dyDescent="0.25">
      <c r="A9" s="445" t="str">
        <f>CONCATENATE("Предмет муниципального контракта: ",'Анализ стоимости'!I53)</f>
        <v>Предмет муниципального контракта: Реализация мероприятий подпрограммы "Капитальный ремонт и ремонт автомобильных дорог местного значения Краснодарского края" государственной программы Краснодарского края «Комплексное и устойчивое развитие Краснодарского края в сфере строительства, архитектуры и дорожного хозяйства» в Кировском сельском поселении Славянского района</v>
      </c>
      <c r="B9" s="445"/>
      <c r="C9" s="445"/>
      <c r="D9" s="445"/>
      <c r="E9" s="366"/>
      <c r="F9" s="367">
        <v>50</v>
      </c>
      <c r="G9" s="368"/>
      <c r="H9" s="369"/>
      <c r="I9" s="369"/>
      <c r="J9" s="370" t="str">
        <f>A9</f>
        <v>Предмет муниципального контракта: Реализация мероприятий подпрограммы "Капитальный ремонт и ремонт автомобильных дорог местного значения Краснодарского края" государственной программы Краснодарского края «Комплексное и устойчивое развитие Краснодарского края в сфере строительства, архитектуры и дорожного хозяйства» в Кировском сельском поселении Славянского района</v>
      </c>
      <c r="K9" s="355">
        <v>1</v>
      </c>
    </row>
    <row r="10" spans="1:60" s="374" customFormat="1" ht="5.25" customHeight="1" x14ac:dyDescent="0.2">
      <c r="A10" s="372"/>
      <c r="B10" s="372"/>
      <c r="C10" s="372"/>
      <c r="D10" s="372"/>
      <c r="E10" s="373"/>
      <c r="H10" s="375"/>
      <c r="I10" s="375"/>
      <c r="J10" s="376"/>
      <c r="K10" s="355">
        <v>1</v>
      </c>
    </row>
    <row r="11" spans="1:60" s="371" customFormat="1" x14ac:dyDescent="0.25">
      <c r="A11" s="377" t="str">
        <f>CONCATENATE("Дата подготовки обоснования начальной (максимальной) цены контракта: ",TEXT(VLOOKUP($F$11,таблица,2,0),"ДД.ММ.ГГГГ")," г")</f>
        <v>Дата подготовки обоснования начальной (максимальной) цены контракта: 25.02.2015г г</v>
      </c>
      <c r="B11" s="378"/>
      <c r="C11" s="378"/>
      <c r="D11" s="378"/>
      <c r="E11" s="366"/>
      <c r="F11" s="379">
        <f>IF('Анализ стоимости'!AJ4&gt;0,'Анализ стоимости'!A4,0)</f>
        <v>1</v>
      </c>
      <c r="G11" s="380"/>
      <c r="H11" s="369"/>
      <c r="I11" s="369"/>
      <c r="J11" s="381"/>
      <c r="K11" s="355">
        <v>1</v>
      </c>
    </row>
    <row r="12" spans="1:60" s="371" customFormat="1" ht="31.5" x14ac:dyDescent="0.25">
      <c r="A12" s="458" t="str">
        <f>VLOOKUP((VLOOKUP($F$9,таблица,8,0)),рем_содер,4,0)</f>
        <v>Используемый метод определения начальной (максимальной) цены контракта: проектно-сметный метод</v>
      </c>
      <c r="B12" s="458"/>
      <c r="C12" s="458"/>
      <c r="D12" s="458"/>
      <c r="E12" s="366"/>
      <c r="F12" s="379">
        <f>IF('Анализ стоимости'!AJ5&gt;0,'Анализ стоимости'!A5,0)</f>
        <v>2</v>
      </c>
      <c r="G12" s="380"/>
      <c r="H12" s="369"/>
      <c r="I12" s="369"/>
      <c r="J12" s="381" t="str">
        <f>A12</f>
        <v>Используемый метод определения начальной (максимальной) цены контракта: проектно-сметный метод</v>
      </c>
      <c r="K12" s="355">
        <v>1</v>
      </c>
    </row>
    <row r="13" spans="1:60" s="371" customFormat="1" ht="31.5" x14ac:dyDescent="0.25">
      <c r="A13" s="458" t="str">
        <f>VLOOKUP((VLOOKUP($F$9,таблица,8,0)),рем_содер,5,0)</f>
        <v>Обоснование выбранного метода определения начальной (максимальной) цены контракта: часть 9.1 статьи 22 федерального закона от 05.04.2013 г. №44-ФЗ</v>
      </c>
      <c r="B13" s="458"/>
      <c r="C13" s="458"/>
      <c r="D13" s="458"/>
      <c r="E13" s="366"/>
      <c r="F13" s="379">
        <f>IF('Анализ стоимости'!AJ6&gt;0,'Анализ стоимости'!A6,0)</f>
        <v>3</v>
      </c>
      <c r="G13" s="380"/>
      <c r="H13" s="369"/>
      <c r="I13" s="369"/>
      <c r="J13" s="382" t="str">
        <f>A13</f>
        <v>Обоснование выбранного метода определения начальной (максимальной) цены контракта: часть 9.1 статьи 22 федерального закона от 05.04.2013 г. №44-ФЗ</v>
      </c>
      <c r="K13" s="355">
        <v>1</v>
      </c>
    </row>
    <row r="14" spans="1:60" s="374" customFormat="1" x14ac:dyDescent="0.2">
      <c r="A14" s="383"/>
      <c r="B14" s="372"/>
      <c r="C14" s="372"/>
      <c r="D14" s="372"/>
      <c r="E14" s="373"/>
      <c r="F14" s="379">
        <f>IF('Анализ стоимости'!AJ7&gt;0,'Анализ стоимости'!A7,0)</f>
        <v>0</v>
      </c>
      <c r="G14" s="380"/>
      <c r="H14" s="375"/>
      <c r="I14" s="375"/>
      <c r="J14" s="376"/>
      <c r="K14" s="355">
        <v>1</v>
      </c>
    </row>
    <row r="15" spans="1:60" s="371" customFormat="1" x14ac:dyDescent="0.25">
      <c r="A15" s="384" t="str">
        <f>CONCATENATE("Таблица. Расчет начальной (максимальной) цены контракта на основании", IF(COUNTIF(F11:F58,"&gt;0")&gt;1,CONCATENATE(" приложений №1 - №",COUNTIF(F11:F58,"&gt;0"))," приложения №1"))</f>
        <v>Таблица. Расчет начальной (максимальной) цены контракта на основании приложений №1 - №3</v>
      </c>
      <c r="B15" s="378"/>
      <c r="C15" s="378"/>
      <c r="D15" s="378"/>
      <c r="E15" s="366"/>
      <c r="F15" s="379">
        <f>IF('Анализ стоимости'!AJ8&gt;0,'Анализ стоимости'!A8,0)</f>
        <v>0</v>
      </c>
      <c r="G15" s="380"/>
      <c r="H15" s="369"/>
      <c r="I15" s="369"/>
      <c r="J15" s="381"/>
      <c r="K15" s="355">
        <v>1</v>
      </c>
    </row>
    <row r="16" spans="1:60" x14ac:dyDescent="0.25">
      <c r="A16" s="459" t="s">
        <v>219</v>
      </c>
      <c r="B16" s="459"/>
      <c r="C16" s="459"/>
      <c r="D16" s="459"/>
      <c r="F16" s="379">
        <f>IF('Анализ стоимости'!AJ9&gt;0,'Анализ стоимости'!A9,0)</f>
        <v>0</v>
      </c>
      <c r="G16" s="380"/>
      <c r="J16" s="364"/>
      <c r="K16" s="355">
        <v>1</v>
      </c>
      <c r="L16" s="371"/>
      <c r="AJ16" s="355">
        <v>831</v>
      </c>
      <c r="AK16" s="355">
        <f>AJ16+34</f>
        <v>865</v>
      </c>
      <c r="AL16" s="355">
        <f>AK16+34</f>
        <v>899</v>
      </c>
      <c r="AM16" s="355">
        <f t="shared" ref="AM16:BH16" si="0">AL16+34</f>
        <v>933</v>
      </c>
      <c r="AN16" s="355">
        <f t="shared" si="0"/>
        <v>967</v>
      </c>
      <c r="AO16" s="355">
        <f t="shared" si="0"/>
        <v>1001</v>
      </c>
      <c r="AP16" s="355">
        <f t="shared" si="0"/>
        <v>1035</v>
      </c>
      <c r="AQ16" s="355">
        <f t="shared" si="0"/>
        <v>1069</v>
      </c>
      <c r="AR16" s="355">
        <f t="shared" si="0"/>
        <v>1103</v>
      </c>
      <c r="AS16" s="355">
        <f t="shared" si="0"/>
        <v>1137</v>
      </c>
      <c r="AT16" s="355">
        <f t="shared" si="0"/>
        <v>1171</v>
      </c>
      <c r="AU16" s="355">
        <f t="shared" si="0"/>
        <v>1205</v>
      </c>
      <c r="AV16" s="355">
        <f t="shared" si="0"/>
        <v>1239</v>
      </c>
      <c r="AW16" s="355">
        <f t="shared" si="0"/>
        <v>1273</v>
      </c>
      <c r="AX16" s="355">
        <f t="shared" si="0"/>
        <v>1307</v>
      </c>
      <c r="AY16" s="355">
        <f t="shared" si="0"/>
        <v>1341</v>
      </c>
      <c r="AZ16" s="355">
        <f t="shared" si="0"/>
        <v>1375</v>
      </c>
      <c r="BA16" s="355">
        <f t="shared" si="0"/>
        <v>1409</v>
      </c>
      <c r="BB16" s="355">
        <f t="shared" si="0"/>
        <v>1443</v>
      </c>
      <c r="BC16" s="355">
        <f t="shared" si="0"/>
        <v>1477</v>
      </c>
      <c r="BD16" s="355">
        <f t="shared" si="0"/>
        <v>1511</v>
      </c>
      <c r="BE16" s="355">
        <f t="shared" si="0"/>
        <v>1545</v>
      </c>
      <c r="BF16" s="355">
        <f t="shared" si="0"/>
        <v>1579</v>
      </c>
      <c r="BG16" s="355">
        <f t="shared" si="0"/>
        <v>1613</v>
      </c>
      <c r="BH16" s="355">
        <f t="shared" si="0"/>
        <v>1647</v>
      </c>
    </row>
    <row r="17" spans="1:60" s="365" customFormat="1" ht="47.25" x14ac:dyDescent="0.25">
      <c r="A17" s="385" t="s">
        <v>111</v>
      </c>
      <c r="B17" s="385" t="s">
        <v>167</v>
      </c>
      <c r="C17" s="460" t="str">
        <f>CONCATENATE("Стоимость  согласно сметной документации (руб.) в текущих ценах по состоянию на ",VLOOKUP($F$9,таблица,5,0)," г.")</f>
        <v>Стоимость  согласно сметной документации (руб.) в текущих ценах по состоянию на 01.08.2014 г.</v>
      </c>
      <c r="D17" s="461"/>
      <c r="F17" s="379">
        <f>IF('Анализ стоимости'!AJ10&gt;0,'Анализ стоимости'!A10,0)</f>
        <v>0</v>
      </c>
      <c r="G17" s="380"/>
      <c r="H17" s="359"/>
      <c r="I17" s="386" t="str">
        <f>C17</f>
        <v>Стоимость  согласно сметной документации (руб.) в текущих ценах по состоянию на 01.08.2014 г.</v>
      </c>
      <c r="J17" s="364"/>
      <c r="K17" s="365">
        <v>1</v>
      </c>
      <c r="M17" s="387" t="s">
        <v>276</v>
      </c>
      <c r="AH17" s="388"/>
      <c r="AI17" s="388"/>
      <c r="AJ17" s="388"/>
    </row>
    <row r="18" spans="1:60" s="365" customFormat="1" x14ac:dyDescent="0.2">
      <c r="A18" s="389">
        <v>1</v>
      </c>
      <c r="B18" s="390" t="s">
        <v>68</v>
      </c>
      <c r="C18" s="455">
        <f>SUMIF(M18:BH18,$M$17)</f>
        <v>62499</v>
      </c>
      <c r="D18" s="456"/>
      <c r="F18" s="379">
        <f>IF('Анализ стоимости'!AJ11&gt;0,'Анализ стоимости'!A11,0)</f>
        <v>0</v>
      </c>
      <c r="G18" s="380"/>
      <c r="H18" s="359"/>
      <c r="I18" s="359"/>
      <c r="J18" s="364"/>
      <c r="K18" s="365">
        <v>1</v>
      </c>
      <c r="M18" s="388">
        <f>C49</f>
        <v>12251</v>
      </c>
      <c r="N18" s="388">
        <f>C83</f>
        <v>34005</v>
      </c>
      <c r="O18" s="388">
        <f>C117</f>
        <v>16243</v>
      </c>
      <c r="P18" s="388" t="e">
        <f>C151</f>
        <v>#N/A</v>
      </c>
      <c r="Q18" s="388" t="e">
        <f>C185</f>
        <v>#N/A</v>
      </c>
      <c r="R18" s="388" t="e">
        <f>C219</f>
        <v>#N/A</v>
      </c>
      <c r="S18" s="388" t="e">
        <f>C253</f>
        <v>#N/A</v>
      </c>
      <c r="T18" s="388" t="e">
        <f>C287</f>
        <v>#N/A</v>
      </c>
      <c r="U18" s="388" t="e">
        <f>C321</f>
        <v>#N/A</v>
      </c>
      <c r="V18" s="388" t="e">
        <f>C355</f>
        <v>#N/A</v>
      </c>
      <c r="W18" s="388" t="e">
        <f>C389</f>
        <v>#N/A</v>
      </c>
      <c r="X18" s="388" t="e">
        <f>C423</f>
        <v>#N/A</v>
      </c>
      <c r="Y18" s="388" t="e">
        <f>C457</f>
        <v>#N/A</v>
      </c>
      <c r="Z18" s="388" t="e">
        <f>C491</f>
        <v>#N/A</v>
      </c>
      <c r="AA18" s="388" t="e">
        <f>C525</f>
        <v>#N/A</v>
      </c>
      <c r="AB18" s="388" t="e">
        <f>C559</f>
        <v>#N/A</v>
      </c>
      <c r="AC18" s="388" t="e">
        <f>C593</f>
        <v>#N/A</v>
      </c>
      <c r="AD18" s="388" t="e">
        <f>C627</f>
        <v>#N/A</v>
      </c>
      <c r="AE18" s="388" t="e">
        <f>C661</f>
        <v>#N/A</v>
      </c>
      <c r="AF18" s="388" t="e">
        <f>C695</f>
        <v>#N/A</v>
      </c>
      <c r="AG18" s="388" t="e">
        <f>C729</f>
        <v>#N/A</v>
      </c>
      <c r="AH18" s="388" t="e">
        <f>C763</f>
        <v>#N/A</v>
      </c>
      <c r="AI18" s="388" t="e">
        <f>C797</f>
        <v>#N/A</v>
      </c>
      <c r="AJ18" s="388" t="e">
        <f>C831</f>
        <v>#N/A</v>
      </c>
      <c r="AK18" s="388" t="e">
        <f>C865</f>
        <v>#N/A</v>
      </c>
      <c r="AL18" s="388" t="e">
        <f>C899</f>
        <v>#N/A</v>
      </c>
      <c r="AM18" s="388" t="e">
        <f>C933</f>
        <v>#N/A</v>
      </c>
      <c r="AN18" s="388" t="e">
        <f>C967</f>
        <v>#N/A</v>
      </c>
      <c r="AO18" s="388" t="e">
        <f>C1001</f>
        <v>#N/A</v>
      </c>
      <c r="AP18" s="388" t="e">
        <f>C1035</f>
        <v>#N/A</v>
      </c>
      <c r="AQ18" s="388" t="e">
        <f>C1069</f>
        <v>#N/A</v>
      </c>
      <c r="AR18" s="388" t="e">
        <f>C1103</f>
        <v>#N/A</v>
      </c>
      <c r="AS18" s="388" t="e">
        <f>C1137</f>
        <v>#N/A</v>
      </c>
      <c r="AT18" s="388" t="e">
        <f>C1171</f>
        <v>#N/A</v>
      </c>
      <c r="AU18" s="388" t="e">
        <f>C1205</f>
        <v>#N/A</v>
      </c>
      <c r="AV18" s="388" t="e">
        <f>C1239</f>
        <v>#N/A</v>
      </c>
      <c r="AW18" s="388" t="e">
        <f>C1273</f>
        <v>#N/A</v>
      </c>
      <c r="AX18" s="388" t="e">
        <f>C1307</f>
        <v>#N/A</v>
      </c>
      <c r="AY18" s="388" t="e">
        <f>C1341</f>
        <v>#N/A</v>
      </c>
      <c r="AZ18" s="388" t="e">
        <f>C1375</f>
        <v>#N/A</v>
      </c>
      <c r="BA18" s="388" t="e">
        <f>C1409</f>
        <v>#N/A</v>
      </c>
      <c r="BB18" s="388" t="e">
        <f>C1443</f>
        <v>#N/A</v>
      </c>
      <c r="BC18" s="388" t="e">
        <f>C1477</f>
        <v>#N/A</v>
      </c>
      <c r="BD18" s="388" t="e">
        <f>C1511</f>
        <v>#N/A</v>
      </c>
      <c r="BE18" s="388" t="e">
        <f>C1545</f>
        <v>#N/A</v>
      </c>
      <c r="BF18" s="388" t="e">
        <f>C1579</f>
        <v>#N/A</v>
      </c>
      <c r="BG18" s="388" t="e">
        <f>C1613</f>
        <v>#N/A</v>
      </c>
      <c r="BH18" s="388" t="e">
        <f>C1647</f>
        <v>#N/A</v>
      </c>
    </row>
    <row r="19" spans="1:60" s="365" customFormat="1" x14ac:dyDescent="0.2">
      <c r="A19" s="389">
        <v>2</v>
      </c>
      <c r="B19" s="390" t="s">
        <v>58</v>
      </c>
      <c r="C19" s="455">
        <f>SUMIF(M19:BH19,$M$17)</f>
        <v>84543</v>
      </c>
      <c r="D19" s="456"/>
      <c r="F19" s="379">
        <f>IF('Анализ стоимости'!AJ12&gt;0,'Анализ стоимости'!A12,0)</f>
        <v>0</v>
      </c>
      <c r="G19" s="380"/>
      <c r="H19" s="359"/>
      <c r="I19" s="359"/>
      <c r="J19" s="364"/>
      <c r="K19" s="365">
        <v>1</v>
      </c>
      <c r="L19" s="387"/>
      <c r="M19" s="388">
        <f t="shared" ref="M19:M25" si="1">C50</f>
        <v>16412</v>
      </c>
      <c r="N19" s="388">
        <f t="shared" ref="N19:N25" si="2">C84</f>
        <v>44311</v>
      </c>
      <c r="O19" s="388">
        <f t="shared" ref="O19:O25" si="3">C118</f>
        <v>23820</v>
      </c>
      <c r="P19" s="388" t="e">
        <f t="shared" ref="P19:P25" si="4">C152</f>
        <v>#N/A</v>
      </c>
      <c r="Q19" s="388" t="e">
        <f t="shared" ref="Q19:Q25" si="5">C186</f>
        <v>#N/A</v>
      </c>
      <c r="R19" s="388" t="e">
        <f t="shared" ref="R19:R25" si="6">C220</f>
        <v>#N/A</v>
      </c>
      <c r="S19" s="388" t="e">
        <f t="shared" ref="S19:S25" si="7">C254</f>
        <v>#N/A</v>
      </c>
      <c r="T19" s="388" t="e">
        <f t="shared" ref="T19:T25" si="8">C288</f>
        <v>#N/A</v>
      </c>
      <c r="U19" s="388" t="e">
        <f t="shared" ref="U19:U25" si="9">C322</f>
        <v>#N/A</v>
      </c>
      <c r="V19" s="388" t="e">
        <f t="shared" ref="V19:V25" si="10">C356</f>
        <v>#N/A</v>
      </c>
      <c r="W19" s="388" t="e">
        <f t="shared" ref="W19:W25" si="11">C390</f>
        <v>#N/A</v>
      </c>
      <c r="X19" s="388" t="e">
        <f t="shared" ref="X19:X25" si="12">C424</f>
        <v>#N/A</v>
      </c>
      <c r="Y19" s="388" t="e">
        <f t="shared" ref="Y19:Y25" si="13">C458</f>
        <v>#N/A</v>
      </c>
      <c r="Z19" s="388" t="e">
        <f t="shared" ref="Z19:Z25" si="14">C492</f>
        <v>#N/A</v>
      </c>
      <c r="AA19" s="388" t="e">
        <f t="shared" ref="AA19:AA25" si="15">C526</f>
        <v>#N/A</v>
      </c>
      <c r="AB19" s="388" t="e">
        <f t="shared" ref="AB19:AB25" si="16">C560</f>
        <v>#N/A</v>
      </c>
      <c r="AC19" s="388" t="e">
        <f t="shared" ref="AC19:AC25" si="17">C594</f>
        <v>#N/A</v>
      </c>
      <c r="AD19" s="388" t="e">
        <f t="shared" ref="AD19:AD25" si="18">C628</f>
        <v>#N/A</v>
      </c>
      <c r="AE19" s="388" t="e">
        <f t="shared" ref="AE19:AE25" si="19">C662</f>
        <v>#N/A</v>
      </c>
      <c r="AF19" s="388" t="e">
        <f t="shared" ref="AF19:AF25" si="20">C696</f>
        <v>#N/A</v>
      </c>
      <c r="AG19" s="388" t="e">
        <f t="shared" ref="AG19:AG25" si="21">C730</f>
        <v>#N/A</v>
      </c>
      <c r="AH19" s="388" t="e">
        <f t="shared" ref="AH19:AH25" si="22">C764</f>
        <v>#N/A</v>
      </c>
      <c r="AI19" s="388" t="e">
        <f t="shared" ref="AI19:AI25" si="23">C798</f>
        <v>#N/A</v>
      </c>
      <c r="AJ19" s="388" t="e">
        <f t="shared" ref="AJ19:AJ25" si="24">C832</f>
        <v>#N/A</v>
      </c>
      <c r="AK19" s="388" t="e">
        <f t="shared" ref="AK19:AK22" si="25">C866</f>
        <v>#N/A</v>
      </c>
      <c r="AL19" s="388" t="e">
        <f t="shared" ref="AL19:AL22" si="26">C900</f>
        <v>#N/A</v>
      </c>
      <c r="AM19" s="388" t="e">
        <f t="shared" ref="AM19:AM22" si="27">C934</f>
        <v>#N/A</v>
      </c>
      <c r="AN19" s="388" t="e">
        <f t="shared" ref="AN19:AN22" si="28">C968</f>
        <v>#N/A</v>
      </c>
      <c r="AO19" s="388" t="e">
        <f t="shared" ref="AO19:AO22" si="29">C1002</f>
        <v>#N/A</v>
      </c>
      <c r="AP19" s="388" t="e">
        <f t="shared" ref="AP19:AP22" si="30">C1036</f>
        <v>#N/A</v>
      </c>
      <c r="AQ19" s="388" t="e">
        <f t="shared" ref="AQ19:AQ22" si="31">C1070</f>
        <v>#N/A</v>
      </c>
      <c r="AR19" s="388" t="e">
        <f t="shared" ref="AR19:AR22" si="32">C1104</f>
        <v>#N/A</v>
      </c>
      <c r="AS19" s="388" t="e">
        <f t="shared" ref="AS19:AS22" si="33">C1138</f>
        <v>#N/A</v>
      </c>
      <c r="AT19" s="388" t="e">
        <f t="shared" ref="AT19:AT22" si="34">C1172</f>
        <v>#N/A</v>
      </c>
      <c r="AU19" s="388" t="e">
        <f t="shared" ref="AU19:AU22" si="35">C1206</f>
        <v>#N/A</v>
      </c>
      <c r="AV19" s="388" t="e">
        <f t="shared" ref="AV19:AV22" si="36">C1240</f>
        <v>#N/A</v>
      </c>
      <c r="AW19" s="388" t="e">
        <f t="shared" ref="AW19:AW22" si="37">C1274</f>
        <v>#N/A</v>
      </c>
      <c r="AX19" s="388" t="e">
        <f t="shared" ref="AX19:AX22" si="38">C1308</f>
        <v>#N/A</v>
      </c>
      <c r="AY19" s="388" t="e">
        <f t="shared" ref="AY19:AY22" si="39">C1342</f>
        <v>#N/A</v>
      </c>
      <c r="AZ19" s="388" t="e">
        <f t="shared" ref="AZ19:AZ22" si="40">C1376</f>
        <v>#N/A</v>
      </c>
      <c r="BA19" s="388" t="e">
        <f t="shared" ref="BA19:BA22" si="41">C1410</f>
        <v>#N/A</v>
      </c>
      <c r="BB19" s="388" t="e">
        <f t="shared" ref="BB19:BB22" si="42">C1444</f>
        <v>#N/A</v>
      </c>
      <c r="BC19" s="388" t="e">
        <f t="shared" ref="BC19:BC22" si="43">C1478</f>
        <v>#N/A</v>
      </c>
      <c r="BD19" s="388" t="e">
        <f t="shared" ref="BD19:BD22" si="44">C1512</f>
        <v>#N/A</v>
      </c>
      <c r="BE19" s="388" t="e">
        <f t="shared" ref="BE19:BE22" si="45">C1546</f>
        <v>#N/A</v>
      </c>
      <c r="BF19" s="388" t="e">
        <f t="shared" ref="BF19:BF22" si="46">C1580</f>
        <v>#N/A</v>
      </c>
      <c r="BG19" s="388" t="e">
        <f t="shared" ref="BG19:BG22" si="47">C1614</f>
        <v>#N/A</v>
      </c>
      <c r="BH19" s="388" t="e">
        <f t="shared" ref="BH19:BH22" si="48">C1648</f>
        <v>#N/A</v>
      </c>
    </row>
    <row r="20" spans="1:60" s="365" customFormat="1" ht="31.5" x14ac:dyDescent="0.2">
      <c r="A20" s="389">
        <v>3</v>
      </c>
      <c r="B20" s="390" t="s">
        <v>8</v>
      </c>
      <c r="C20" s="455">
        <f>SUMIF(M20:BH20,$M$17)</f>
        <v>1368375</v>
      </c>
      <c r="D20" s="456"/>
      <c r="F20" s="379">
        <f>IF('Анализ стоимости'!AJ13&gt;0,'Анализ стоимости'!A13,0)</f>
        <v>0</v>
      </c>
      <c r="G20" s="380"/>
      <c r="H20" s="359"/>
      <c r="I20" s="359"/>
      <c r="J20" s="364"/>
      <c r="K20" s="365">
        <v>1</v>
      </c>
      <c r="M20" s="388">
        <f t="shared" si="1"/>
        <v>312022</v>
      </c>
      <c r="N20" s="388">
        <f t="shared" si="2"/>
        <v>810148</v>
      </c>
      <c r="O20" s="388">
        <f t="shared" si="3"/>
        <v>246205</v>
      </c>
      <c r="P20" s="388" t="e">
        <f t="shared" si="4"/>
        <v>#N/A</v>
      </c>
      <c r="Q20" s="388" t="e">
        <f t="shared" si="5"/>
        <v>#N/A</v>
      </c>
      <c r="R20" s="388" t="e">
        <f t="shared" si="6"/>
        <v>#N/A</v>
      </c>
      <c r="S20" s="388" t="e">
        <f t="shared" si="7"/>
        <v>#N/A</v>
      </c>
      <c r="T20" s="388" t="e">
        <f t="shared" si="8"/>
        <v>#N/A</v>
      </c>
      <c r="U20" s="388" t="e">
        <f t="shared" si="9"/>
        <v>#N/A</v>
      </c>
      <c r="V20" s="388" t="e">
        <f t="shared" si="10"/>
        <v>#N/A</v>
      </c>
      <c r="W20" s="388" t="e">
        <f t="shared" si="11"/>
        <v>#N/A</v>
      </c>
      <c r="X20" s="388" t="e">
        <f t="shared" si="12"/>
        <v>#N/A</v>
      </c>
      <c r="Y20" s="388" t="e">
        <f t="shared" si="13"/>
        <v>#N/A</v>
      </c>
      <c r="Z20" s="388" t="e">
        <f t="shared" si="14"/>
        <v>#N/A</v>
      </c>
      <c r="AA20" s="388" t="e">
        <f t="shared" si="15"/>
        <v>#N/A</v>
      </c>
      <c r="AB20" s="388" t="e">
        <f t="shared" si="16"/>
        <v>#N/A</v>
      </c>
      <c r="AC20" s="388" t="e">
        <f t="shared" si="17"/>
        <v>#N/A</v>
      </c>
      <c r="AD20" s="388" t="e">
        <f t="shared" si="18"/>
        <v>#N/A</v>
      </c>
      <c r="AE20" s="388" t="e">
        <f t="shared" si="19"/>
        <v>#N/A</v>
      </c>
      <c r="AF20" s="388" t="e">
        <f t="shared" si="20"/>
        <v>#N/A</v>
      </c>
      <c r="AG20" s="388" t="e">
        <f t="shared" si="21"/>
        <v>#N/A</v>
      </c>
      <c r="AH20" s="388" t="e">
        <f t="shared" si="22"/>
        <v>#N/A</v>
      </c>
      <c r="AI20" s="388" t="e">
        <f t="shared" si="23"/>
        <v>#N/A</v>
      </c>
      <c r="AJ20" s="388" t="e">
        <f t="shared" si="24"/>
        <v>#N/A</v>
      </c>
      <c r="AK20" s="388" t="e">
        <f t="shared" si="25"/>
        <v>#N/A</v>
      </c>
      <c r="AL20" s="388" t="e">
        <f t="shared" si="26"/>
        <v>#N/A</v>
      </c>
      <c r="AM20" s="388" t="e">
        <f t="shared" si="27"/>
        <v>#N/A</v>
      </c>
      <c r="AN20" s="388" t="e">
        <f t="shared" si="28"/>
        <v>#N/A</v>
      </c>
      <c r="AO20" s="388" t="e">
        <f t="shared" si="29"/>
        <v>#N/A</v>
      </c>
      <c r="AP20" s="388" t="e">
        <f t="shared" si="30"/>
        <v>#N/A</v>
      </c>
      <c r="AQ20" s="388" t="e">
        <f t="shared" si="31"/>
        <v>#N/A</v>
      </c>
      <c r="AR20" s="388" t="e">
        <f t="shared" si="32"/>
        <v>#N/A</v>
      </c>
      <c r="AS20" s="388" t="e">
        <f t="shared" si="33"/>
        <v>#N/A</v>
      </c>
      <c r="AT20" s="388" t="e">
        <f t="shared" si="34"/>
        <v>#N/A</v>
      </c>
      <c r="AU20" s="388" t="e">
        <f t="shared" si="35"/>
        <v>#N/A</v>
      </c>
      <c r="AV20" s="388" t="e">
        <f t="shared" si="36"/>
        <v>#N/A</v>
      </c>
      <c r="AW20" s="388" t="e">
        <f t="shared" si="37"/>
        <v>#N/A</v>
      </c>
      <c r="AX20" s="388" t="e">
        <f t="shared" si="38"/>
        <v>#N/A</v>
      </c>
      <c r="AY20" s="388" t="e">
        <f t="shared" si="39"/>
        <v>#N/A</v>
      </c>
      <c r="AZ20" s="388" t="e">
        <f t="shared" si="40"/>
        <v>#N/A</v>
      </c>
      <c r="BA20" s="388" t="e">
        <f t="shared" si="41"/>
        <v>#N/A</v>
      </c>
      <c r="BB20" s="388" t="e">
        <f t="shared" si="42"/>
        <v>#N/A</v>
      </c>
      <c r="BC20" s="388" t="e">
        <f t="shared" si="43"/>
        <v>#N/A</v>
      </c>
      <c r="BD20" s="388" t="e">
        <f t="shared" si="44"/>
        <v>#N/A</v>
      </c>
      <c r="BE20" s="388" t="e">
        <f t="shared" si="45"/>
        <v>#N/A</v>
      </c>
      <c r="BF20" s="388" t="e">
        <f t="shared" si="46"/>
        <v>#N/A</v>
      </c>
      <c r="BG20" s="388" t="e">
        <f t="shared" si="47"/>
        <v>#N/A</v>
      </c>
      <c r="BH20" s="388" t="e">
        <f t="shared" si="48"/>
        <v>#N/A</v>
      </c>
    </row>
    <row r="21" spans="1:60" s="365" customFormat="1" x14ac:dyDescent="0.2">
      <c r="A21" s="389">
        <v>4</v>
      </c>
      <c r="B21" s="390" t="s">
        <v>59</v>
      </c>
      <c r="C21" s="455">
        <f>SUMIF(M21:BH21,$M$17)</f>
        <v>73789</v>
      </c>
      <c r="D21" s="456"/>
      <c r="F21" s="379">
        <f>IF('Анализ стоимости'!AJ14&gt;0,'Анализ стоимости'!A14,0)</f>
        <v>0</v>
      </c>
      <c r="G21" s="380"/>
      <c r="H21" s="359"/>
      <c r="I21" s="359"/>
      <c r="J21" s="364"/>
      <c r="K21" s="365">
        <v>1</v>
      </c>
      <c r="M21" s="388">
        <f t="shared" si="1"/>
        <v>14591</v>
      </c>
      <c r="N21" s="388">
        <f t="shared" si="2"/>
        <v>39544</v>
      </c>
      <c r="O21" s="388">
        <f t="shared" si="3"/>
        <v>19654</v>
      </c>
      <c r="P21" s="388" t="e">
        <f t="shared" si="4"/>
        <v>#N/A</v>
      </c>
      <c r="Q21" s="388" t="e">
        <f t="shared" si="5"/>
        <v>#N/A</v>
      </c>
      <c r="R21" s="388" t="e">
        <f t="shared" si="6"/>
        <v>#N/A</v>
      </c>
      <c r="S21" s="388" t="e">
        <f t="shared" si="7"/>
        <v>#N/A</v>
      </c>
      <c r="T21" s="388" t="e">
        <f t="shared" si="8"/>
        <v>#N/A</v>
      </c>
      <c r="U21" s="388" t="e">
        <f t="shared" si="9"/>
        <v>#N/A</v>
      </c>
      <c r="V21" s="388" t="e">
        <f t="shared" si="10"/>
        <v>#N/A</v>
      </c>
      <c r="W21" s="388" t="e">
        <f t="shared" si="11"/>
        <v>#N/A</v>
      </c>
      <c r="X21" s="388" t="e">
        <f t="shared" si="12"/>
        <v>#N/A</v>
      </c>
      <c r="Y21" s="388" t="e">
        <f t="shared" si="13"/>
        <v>#N/A</v>
      </c>
      <c r="Z21" s="388" t="e">
        <f t="shared" si="14"/>
        <v>#N/A</v>
      </c>
      <c r="AA21" s="388" t="e">
        <f t="shared" si="15"/>
        <v>#N/A</v>
      </c>
      <c r="AB21" s="388" t="e">
        <f t="shared" si="16"/>
        <v>#N/A</v>
      </c>
      <c r="AC21" s="388" t="e">
        <f t="shared" si="17"/>
        <v>#N/A</v>
      </c>
      <c r="AD21" s="388" t="e">
        <f t="shared" si="18"/>
        <v>#N/A</v>
      </c>
      <c r="AE21" s="388" t="e">
        <f t="shared" si="19"/>
        <v>#N/A</v>
      </c>
      <c r="AF21" s="388" t="e">
        <f t="shared" si="20"/>
        <v>#N/A</v>
      </c>
      <c r="AG21" s="388" t="e">
        <f t="shared" si="21"/>
        <v>#N/A</v>
      </c>
      <c r="AH21" s="388" t="e">
        <f t="shared" si="22"/>
        <v>#N/A</v>
      </c>
      <c r="AI21" s="388" t="e">
        <f t="shared" si="23"/>
        <v>#N/A</v>
      </c>
      <c r="AJ21" s="388" t="e">
        <f t="shared" si="24"/>
        <v>#N/A</v>
      </c>
      <c r="AK21" s="388" t="e">
        <f t="shared" si="25"/>
        <v>#N/A</v>
      </c>
      <c r="AL21" s="388" t="e">
        <f t="shared" si="26"/>
        <v>#N/A</v>
      </c>
      <c r="AM21" s="388" t="e">
        <f t="shared" si="27"/>
        <v>#N/A</v>
      </c>
      <c r="AN21" s="388" t="e">
        <f t="shared" si="28"/>
        <v>#N/A</v>
      </c>
      <c r="AO21" s="388" t="e">
        <f t="shared" si="29"/>
        <v>#N/A</v>
      </c>
      <c r="AP21" s="388" t="e">
        <f t="shared" si="30"/>
        <v>#N/A</v>
      </c>
      <c r="AQ21" s="388" t="e">
        <f t="shared" si="31"/>
        <v>#N/A</v>
      </c>
      <c r="AR21" s="388" t="e">
        <f t="shared" si="32"/>
        <v>#N/A</v>
      </c>
      <c r="AS21" s="388" t="e">
        <f t="shared" si="33"/>
        <v>#N/A</v>
      </c>
      <c r="AT21" s="388" t="e">
        <f t="shared" si="34"/>
        <v>#N/A</v>
      </c>
      <c r="AU21" s="388" t="e">
        <f t="shared" si="35"/>
        <v>#N/A</v>
      </c>
      <c r="AV21" s="388" t="e">
        <f t="shared" si="36"/>
        <v>#N/A</v>
      </c>
      <c r="AW21" s="388" t="e">
        <f t="shared" si="37"/>
        <v>#N/A</v>
      </c>
      <c r="AX21" s="388" t="e">
        <f t="shared" si="38"/>
        <v>#N/A</v>
      </c>
      <c r="AY21" s="388" t="e">
        <f t="shared" si="39"/>
        <v>#N/A</v>
      </c>
      <c r="AZ21" s="388" t="e">
        <f t="shared" si="40"/>
        <v>#N/A</v>
      </c>
      <c r="BA21" s="388" t="e">
        <f t="shared" si="41"/>
        <v>#N/A</v>
      </c>
      <c r="BB21" s="388" t="e">
        <f t="shared" si="42"/>
        <v>#N/A</v>
      </c>
      <c r="BC21" s="388" t="e">
        <f t="shared" si="43"/>
        <v>#N/A</v>
      </c>
      <c r="BD21" s="388" t="e">
        <f t="shared" si="44"/>
        <v>#N/A</v>
      </c>
      <c r="BE21" s="388" t="e">
        <f t="shared" si="45"/>
        <v>#N/A</v>
      </c>
      <c r="BF21" s="388" t="e">
        <f t="shared" si="46"/>
        <v>#N/A</v>
      </c>
      <c r="BG21" s="388" t="e">
        <f t="shared" si="47"/>
        <v>#N/A</v>
      </c>
      <c r="BH21" s="388" t="e">
        <f t="shared" si="48"/>
        <v>#N/A</v>
      </c>
    </row>
    <row r="22" spans="1:60" s="365" customFormat="1" x14ac:dyDescent="0.2">
      <c r="A22" s="389">
        <v>5</v>
      </c>
      <c r="B22" s="390" t="s">
        <v>14</v>
      </c>
      <c r="C22" s="455">
        <f>SUMIF(M22:BH22,$M$17)</f>
        <v>39448</v>
      </c>
      <c r="D22" s="456"/>
      <c r="F22" s="379">
        <f>IF('Анализ стоимости'!AJ15&gt;0,'Анализ стоимости'!A15,0)</f>
        <v>0</v>
      </c>
      <c r="G22" s="380"/>
      <c r="H22" s="359"/>
      <c r="I22" s="359"/>
      <c r="J22" s="364"/>
      <c r="K22" s="365">
        <v>1</v>
      </c>
      <c r="M22" s="388">
        <f t="shared" si="1"/>
        <v>7813</v>
      </c>
      <c r="N22" s="388">
        <f t="shared" si="2"/>
        <v>21077</v>
      </c>
      <c r="O22" s="388">
        <f t="shared" si="3"/>
        <v>10558</v>
      </c>
      <c r="P22" s="388" t="e">
        <f t="shared" si="4"/>
        <v>#N/A</v>
      </c>
      <c r="Q22" s="388" t="e">
        <f t="shared" si="5"/>
        <v>#N/A</v>
      </c>
      <c r="R22" s="388" t="e">
        <f t="shared" si="6"/>
        <v>#N/A</v>
      </c>
      <c r="S22" s="388" t="e">
        <f t="shared" si="7"/>
        <v>#N/A</v>
      </c>
      <c r="T22" s="388" t="e">
        <f t="shared" si="8"/>
        <v>#N/A</v>
      </c>
      <c r="U22" s="388" t="e">
        <f t="shared" si="9"/>
        <v>#N/A</v>
      </c>
      <c r="V22" s="388" t="e">
        <f t="shared" si="10"/>
        <v>#N/A</v>
      </c>
      <c r="W22" s="388" t="e">
        <f t="shared" si="11"/>
        <v>#N/A</v>
      </c>
      <c r="X22" s="388" t="e">
        <f t="shared" si="12"/>
        <v>#N/A</v>
      </c>
      <c r="Y22" s="388" t="e">
        <f t="shared" si="13"/>
        <v>#N/A</v>
      </c>
      <c r="Z22" s="388" t="e">
        <f t="shared" si="14"/>
        <v>#N/A</v>
      </c>
      <c r="AA22" s="388" t="e">
        <f t="shared" si="15"/>
        <v>#N/A</v>
      </c>
      <c r="AB22" s="388" t="e">
        <f t="shared" si="16"/>
        <v>#N/A</v>
      </c>
      <c r="AC22" s="388" t="e">
        <f t="shared" si="17"/>
        <v>#N/A</v>
      </c>
      <c r="AD22" s="388" t="e">
        <f t="shared" si="18"/>
        <v>#N/A</v>
      </c>
      <c r="AE22" s="388" t="e">
        <f t="shared" si="19"/>
        <v>#N/A</v>
      </c>
      <c r="AF22" s="388" t="e">
        <f t="shared" si="20"/>
        <v>#N/A</v>
      </c>
      <c r="AG22" s="388" t="e">
        <f t="shared" si="21"/>
        <v>#N/A</v>
      </c>
      <c r="AH22" s="388" t="e">
        <f t="shared" si="22"/>
        <v>#N/A</v>
      </c>
      <c r="AI22" s="388" t="e">
        <f t="shared" si="23"/>
        <v>#N/A</v>
      </c>
      <c r="AJ22" s="388" t="e">
        <f t="shared" si="24"/>
        <v>#N/A</v>
      </c>
      <c r="AK22" s="388" t="e">
        <f t="shared" si="25"/>
        <v>#N/A</v>
      </c>
      <c r="AL22" s="388" t="e">
        <f t="shared" si="26"/>
        <v>#N/A</v>
      </c>
      <c r="AM22" s="388" t="e">
        <f t="shared" si="27"/>
        <v>#N/A</v>
      </c>
      <c r="AN22" s="388" t="e">
        <f t="shared" si="28"/>
        <v>#N/A</v>
      </c>
      <c r="AO22" s="388" t="e">
        <f t="shared" si="29"/>
        <v>#N/A</v>
      </c>
      <c r="AP22" s="388" t="e">
        <f t="shared" si="30"/>
        <v>#N/A</v>
      </c>
      <c r="AQ22" s="388" t="e">
        <f t="shared" si="31"/>
        <v>#N/A</v>
      </c>
      <c r="AR22" s="388" t="e">
        <f t="shared" si="32"/>
        <v>#N/A</v>
      </c>
      <c r="AS22" s="388" t="e">
        <f t="shared" si="33"/>
        <v>#N/A</v>
      </c>
      <c r="AT22" s="388" t="e">
        <f t="shared" si="34"/>
        <v>#N/A</v>
      </c>
      <c r="AU22" s="388" t="e">
        <f t="shared" si="35"/>
        <v>#N/A</v>
      </c>
      <c r="AV22" s="388" t="e">
        <f t="shared" si="36"/>
        <v>#N/A</v>
      </c>
      <c r="AW22" s="388" t="e">
        <f t="shared" si="37"/>
        <v>#N/A</v>
      </c>
      <c r="AX22" s="388" t="e">
        <f t="shared" si="38"/>
        <v>#N/A</v>
      </c>
      <c r="AY22" s="388" t="e">
        <f t="shared" si="39"/>
        <v>#N/A</v>
      </c>
      <c r="AZ22" s="388" t="e">
        <f t="shared" si="40"/>
        <v>#N/A</v>
      </c>
      <c r="BA22" s="388" t="e">
        <f t="shared" si="41"/>
        <v>#N/A</v>
      </c>
      <c r="BB22" s="388" t="e">
        <f t="shared" si="42"/>
        <v>#N/A</v>
      </c>
      <c r="BC22" s="388" t="e">
        <f t="shared" si="43"/>
        <v>#N/A</v>
      </c>
      <c r="BD22" s="388" t="e">
        <f t="shared" si="44"/>
        <v>#N/A</v>
      </c>
      <c r="BE22" s="388" t="e">
        <f t="shared" si="45"/>
        <v>#N/A</v>
      </c>
      <c r="BF22" s="388" t="e">
        <f t="shared" si="46"/>
        <v>#N/A</v>
      </c>
      <c r="BG22" s="388" t="e">
        <f t="shared" si="47"/>
        <v>#N/A</v>
      </c>
      <c r="BH22" s="388" t="e">
        <f t="shared" si="48"/>
        <v>#N/A</v>
      </c>
    </row>
    <row r="23" spans="1:60" s="365" customFormat="1" x14ac:dyDescent="0.2">
      <c r="A23" s="389">
        <v>6</v>
      </c>
      <c r="B23" s="390" t="s">
        <v>23</v>
      </c>
      <c r="C23" s="455">
        <f t="shared" ref="C23" si="49">SUMIF(M23:AJ23,$M$17)</f>
        <v>0</v>
      </c>
      <c r="D23" s="456"/>
      <c r="F23" s="379">
        <f>IF('Анализ стоимости'!AJ16&gt;0,'Анализ стоимости'!A16,0)</f>
        <v>0</v>
      </c>
      <c r="G23" s="380"/>
      <c r="H23" s="359"/>
      <c r="I23" s="359"/>
      <c r="J23" s="364"/>
      <c r="K23" s="365">
        <v>1</v>
      </c>
      <c r="M23" s="388">
        <f t="shared" si="1"/>
        <v>0</v>
      </c>
      <c r="N23" s="388">
        <f t="shared" si="2"/>
        <v>0</v>
      </c>
      <c r="O23" s="388">
        <f t="shared" si="3"/>
        <v>0</v>
      </c>
      <c r="P23" s="388" t="e">
        <f t="shared" si="4"/>
        <v>#N/A</v>
      </c>
      <c r="Q23" s="388" t="e">
        <f t="shared" si="5"/>
        <v>#N/A</v>
      </c>
      <c r="R23" s="388" t="e">
        <f t="shared" si="6"/>
        <v>#N/A</v>
      </c>
      <c r="S23" s="388" t="e">
        <f t="shared" si="7"/>
        <v>#N/A</v>
      </c>
      <c r="T23" s="388" t="e">
        <f t="shared" si="8"/>
        <v>#N/A</v>
      </c>
      <c r="U23" s="388" t="e">
        <f t="shared" si="9"/>
        <v>#N/A</v>
      </c>
      <c r="V23" s="388" t="e">
        <f t="shared" si="10"/>
        <v>#N/A</v>
      </c>
      <c r="W23" s="388" t="e">
        <f t="shared" si="11"/>
        <v>#N/A</v>
      </c>
      <c r="X23" s="388" t="e">
        <f t="shared" si="12"/>
        <v>#N/A</v>
      </c>
      <c r="Y23" s="388" t="e">
        <f t="shared" si="13"/>
        <v>#N/A</v>
      </c>
      <c r="Z23" s="388" t="e">
        <f t="shared" si="14"/>
        <v>#N/A</v>
      </c>
      <c r="AA23" s="388" t="e">
        <f t="shared" si="15"/>
        <v>#N/A</v>
      </c>
      <c r="AB23" s="388" t="e">
        <f t="shared" si="16"/>
        <v>#N/A</v>
      </c>
      <c r="AC23" s="388" t="e">
        <f t="shared" si="17"/>
        <v>#N/A</v>
      </c>
      <c r="AD23" s="388" t="e">
        <f t="shared" si="18"/>
        <v>#N/A</v>
      </c>
      <c r="AE23" s="388" t="e">
        <f t="shared" si="19"/>
        <v>#N/A</v>
      </c>
      <c r="AF23" s="388" t="e">
        <f t="shared" si="20"/>
        <v>#N/A</v>
      </c>
      <c r="AG23" s="388" t="e">
        <f t="shared" si="21"/>
        <v>#N/A</v>
      </c>
      <c r="AH23" s="388" t="e">
        <f t="shared" si="22"/>
        <v>#N/A</v>
      </c>
      <c r="AI23" s="388" t="e">
        <f t="shared" si="23"/>
        <v>#N/A</v>
      </c>
      <c r="AJ23" s="388" t="e">
        <f t="shared" si="24"/>
        <v>#N/A</v>
      </c>
    </row>
    <row r="24" spans="1:60" s="365" customFormat="1" x14ac:dyDescent="0.2">
      <c r="A24" s="389">
        <v>7</v>
      </c>
      <c r="B24" s="390" t="s">
        <v>156</v>
      </c>
      <c r="C24" s="455">
        <f>SUMIF(M24:BH24,$M$17)</f>
        <v>16287</v>
      </c>
      <c r="D24" s="456"/>
      <c r="F24" s="379">
        <f>IF('Анализ стоимости'!AJ17&gt;0,'Анализ стоимости'!A17,0)</f>
        <v>0</v>
      </c>
      <c r="G24" s="380"/>
      <c r="H24" s="359"/>
      <c r="I24" s="359"/>
      <c r="J24" s="364"/>
      <c r="K24" s="365">
        <v>1</v>
      </c>
      <c r="M24" s="388">
        <f t="shared" si="1"/>
        <v>3631</v>
      </c>
      <c r="N24" s="388">
        <f t="shared" si="2"/>
        <v>9491</v>
      </c>
      <c r="O24" s="388">
        <f t="shared" si="3"/>
        <v>3165</v>
      </c>
      <c r="P24" s="388" t="e">
        <f t="shared" si="4"/>
        <v>#N/A</v>
      </c>
      <c r="Q24" s="388" t="e">
        <f t="shared" si="5"/>
        <v>#N/A</v>
      </c>
      <c r="R24" s="388" t="e">
        <f t="shared" si="6"/>
        <v>#N/A</v>
      </c>
      <c r="S24" s="388" t="e">
        <f t="shared" si="7"/>
        <v>#N/A</v>
      </c>
      <c r="T24" s="388" t="e">
        <f t="shared" si="8"/>
        <v>#N/A</v>
      </c>
      <c r="U24" s="388" t="e">
        <f t="shared" si="9"/>
        <v>#N/A</v>
      </c>
      <c r="V24" s="388" t="e">
        <f t="shared" si="10"/>
        <v>#N/A</v>
      </c>
      <c r="W24" s="388" t="e">
        <f t="shared" si="11"/>
        <v>#N/A</v>
      </c>
      <c r="X24" s="388" t="e">
        <f t="shared" si="12"/>
        <v>#N/A</v>
      </c>
      <c r="Y24" s="388" t="e">
        <f t="shared" si="13"/>
        <v>#N/A</v>
      </c>
      <c r="Z24" s="388" t="e">
        <f t="shared" si="14"/>
        <v>#N/A</v>
      </c>
      <c r="AA24" s="388" t="e">
        <f t="shared" si="15"/>
        <v>#N/A</v>
      </c>
      <c r="AB24" s="388" t="e">
        <f t="shared" si="16"/>
        <v>#N/A</v>
      </c>
      <c r="AC24" s="388" t="e">
        <f t="shared" si="17"/>
        <v>#N/A</v>
      </c>
      <c r="AD24" s="388" t="e">
        <f t="shared" si="18"/>
        <v>#N/A</v>
      </c>
      <c r="AE24" s="388" t="e">
        <f t="shared" si="19"/>
        <v>#N/A</v>
      </c>
      <c r="AF24" s="388" t="e">
        <f t="shared" si="20"/>
        <v>#N/A</v>
      </c>
      <c r="AG24" s="388" t="e">
        <f t="shared" si="21"/>
        <v>#N/A</v>
      </c>
      <c r="AH24" s="388" t="e">
        <f t="shared" si="22"/>
        <v>#N/A</v>
      </c>
      <c r="AI24" s="388" t="e">
        <f t="shared" si="23"/>
        <v>#N/A</v>
      </c>
      <c r="AJ24" s="388" t="e">
        <f t="shared" si="24"/>
        <v>#N/A</v>
      </c>
      <c r="AK24" s="388" t="e">
        <f t="shared" ref="AK24:AK25" si="50">C871</f>
        <v>#N/A</v>
      </c>
      <c r="AL24" s="388" t="e">
        <f t="shared" ref="AL24:AL25" si="51">C905</f>
        <v>#N/A</v>
      </c>
      <c r="AM24" s="388" t="e">
        <f t="shared" ref="AM24:AM25" si="52">C939</f>
        <v>#N/A</v>
      </c>
      <c r="AN24" s="388" t="e">
        <f t="shared" ref="AN24:AN25" si="53">C973</f>
        <v>#N/A</v>
      </c>
      <c r="AO24" s="388" t="e">
        <f t="shared" ref="AO24:AO25" si="54">C1007</f>
        <v>#N/A</v>
      </c>
      <c r="AP24" s="388" t="e">
        <f t="shared" ref="AP24:AP25" si="55">C1041</f>
        <v>#N/A</v>
      </c>
      <c r="AQ24" s="388" t="e">
        <f t="shared" ref="AQ24:AQ25" si="56">C1075</f>
        <v>#N/A</v>
      </c>
      <c r="AR24" s="388" t="e">
        <f t="shared" ref="AR24:AR25" si="57">C1109</f>
        <v>#N/A</v>
      </c>
      <c r="AS24" s="388" t="e">
        <f t="shared" ref="AS24:AS25" si="58">C1143</f>
        <v>#N/A</v>
      </c>
      <c r="AT24" s="388" t="e">
        <f t="shared" ref="AT24:AT25" si="59">C1177</f>
        <v>#N/A</v>
      </c>
      <c r="AU24" s="388" t="e">
        <f t="shared" ref="AU24:AU25" si="60">C1211</f>
        <v>#N/A</v>
      </c>
      <c r="AV24" s="388" t="e">
        <f t="shared" ref="AV24:AV25" si="61">C1245</f>
        <v>#N/A</v>
      </c>
      <c r="AW24" s="388" t="e">
        <f t="shared" ref="AW24:AW25" si="62">C1279</f>
        <v>#N/A</v>
      </c>
      <c r="AX24" s="388" t="e">
        <f t="shared" ref="AX24:AX25" si="63">C1313</f>
        <v>#N/A</v>
      </c>
      <c r="AY24" s="388" t="e">
        <f t="shared" ref="AY24:AY25" si="64">C1347</f>
        <v>#N/A</v>
      </c>
      <c r="AZ24" s="388" t="e">
        <f t="shared" ref="AZ24:AZ25" si="65">C1381</f>
        <v>#N/A</v>
      </c>
      <c r="BA24" s="388" t="e">
        <f t="shared" ref="BA24:BA25" si="66">C1415</f>
        <v>#N/A</v>
      </c>
      <c r="BB24" s="388" t="e">
        <f t="shared" ref="BB24:BB25" si="67">C1449</f>
        <v>#N/A</v>
      </c>
      <c r="BC24" s="388" t="e">
        <f t="shared" ref="BC24:BC25" si="68">C1483</f>
        <v>#N/A</v>
      </c>
      <c r="BD24" s="388" t="e">
        <f t="shared" ref="BD24:BD25" si="69">C1517</f>
        <v>#N/A</v>
      </c>
      <c r="BE24" s="388" t="e">
        <f t="shared" ref="BE24:BE25" si="70">C1551</f>
        <v>#N/A</v>
      </c>
      <c r="BF24" s="388" t="e">
        <f t="shared" ref="BF24:BF25" si="71">C1585</f>
        <v>#N/A</v>
      </c>
      <c r="BG24" s="388" t="e">
        <f t="shared" ref="BG24:BG25" si="72">C1619</f>
        <v>#N/A</v>
      </c>
      <c r="BH24" s="388" t="e">
        <f t="shared" ref="BH24:BH25" si="73">C1653</f>
        <v>#N/A</v>
      </c>
    </row>
    <row r="25" spans="1:60" s="365" customFormat="1" x14ac:dyDescent="0.2">
      <c r="A25" s="389">
        <v>8</v>
      </c>
      <c r="B25" s="390" t="s">
        <v>101</v>
      </c>
      <c r="C25" s="455">
        <f>SUMIF(M25:BH25,$M$17)</f>
        <v>0</v>
      </c>
      <c r="D25" s="456"/>
      <c r="F25" s="379">
        <f>IF('Анализ стоимости'!AJ18&gt;0,'Анализ стоимости'!A18,0)</f>
        <v>0</v>
      </c>
      <c r="G25" s="380"/>
      <c r="H25" s="359"/>
      <c r="I25" s="359"/>
      <c r="J25" s="364"/>
      <c r="K25" s="365">
        <v>1</v>
      </c>
      <c r="M25" s="388">
        <f t="shared" si="1"/>
        <v>0</v>
      </c>
      <c r="N25" s="388">
        <f t="shared" si="2"/>
        <v>0</v>
      </c>
      <c r="O25" s="388">
        <f t="shared" si="3"/>
        <v>0</v>
      </c>
      <c r="P25" s="388" t="e">
        <f t="shared" si="4"/>
        <v>#N/A</v>
      </c>
      <c r="Q25" s="388" t="e">
        <f t="shared" si="5"/>
        <v>#N/A</v>
      </c>
      <c r="R25" s="388" t="e">
        <f t="shared" si="6"/>
        <v>#N/A</v>
      </c>
      <c r="S25" s="388" t="e">
        <f t="shared" si="7"/>
        <v>#N/A</v>
      </c>
      <c r="T25" s="388" t="e">
        <f t="shared" si="8"/>
        <v>#N/A</v>
      </c>
      <c r="U25" s="388" t="e">
        <f t="shared" si="9"/>
        <v>#N/A</v>
      </c>
      <c r="V25" s="388" t="e">
        <f t="shared" si="10"/>
        <v>#N/A</v>
      </c>
      <c r="W25" s="388" t="e">
        <f t="shared" si="11"/>
        <v>#N/A</v>
      </c>
      <c r="X25" s="388" t="e">
        <f t="shared" si="12"/>
        <v>#N/A</v>
      </c>
      <c r="Y25" s="388" t="e">
        <f t="shared" si="13"/>
        <v>#N/A</v>
      </c>
      <c r="Z25" s="388" t="e">
        <f t="shared" si="14"/>
        <v>#N/A</v>
      </c>
      <c r="AA25" s="388" t="e">
        <f t="shared" si="15"/>
        <v>#N/A</v>
      </c>
      <c r="AB25" s="388" t="e">
        <f t="shared" si="16"/>
        <v>#N/A</v>
      </c>
      <c r="AC25" s="388" t="e">
        <f t="shared" si="17"/>
        <v>#N/A</v>
      </c>
      <c r="AD25" s="388" t="e">
        <f t="shared" si="18"/>
        <v>#N/A</v>
      </c>
      <c r="AE25" s="388" t="e">
        <f t="shared" si="19"/>
        <v>#N/A</v>
      </c>
      <c r="AF25" s="388" t="e">
        <f t="shared" si="20"/>
        <v>#N/A</v>
      </c>
      <c r="AG25" s="388" t="e">
        <f t="shared" si="21"/>
        <v>#N/A</v>
      </c>
      <c r="AH25" s="388" t="e">
        <f t="shared" si="22"/>
        <v>#N/A</v>
      </c>
      <c r="AI25" s="388" t="e">
        <f t="shared" si="23"/>
        <v>#N/A</v>
      </c>
      <c r="AJ25" s="388" t="e">
        <f t="shared" si="24"/>
        <v>#N/A</v>
      </c>
      <c r="AK25" s="388" t="e">
        <f t="shared" si="50"/>
        <v>#N/A</v>
      </c>
      <c r="AL25" s="388" t="e">
        <f t="shared" si="51"/>
        <v>#N/A</v>
      </c>
      <c r="AM25" s="388" t="e">
        <f t="shared" si="52"/>
        <v>#N/A</v>
      </c>
      <c r="AN25" s="388" t="e">
        <f t="shared" si="53"/>
        <v>#N/A</v>
      </c>
      <c r="AO25" s="388" t="e">
        <f t="shared" si="54"/>
        <v>#N/A</v>
      </c>
      <c r="AP25" s="388" t="e">
        <f t="shared" si="55"/>
        <v>#N/A</v>
      </c>
      <c r="AQ25" s="388" t="e">
        <f t="shared" si="56"/>
        <v>#N/A</v>
      </c>
      <c r="AR25" s="388" t="e">
        <f t="shared" si="57"/>
        <v>#N/A</v>
      </c>
      <c r="AS25" s="388" t="e">
        <f t="shared" si="58"/>
        <v>#N/A</v>
      </c>
      <c r="AT25" s="388" t="e">
        <f t="shared" si="59"/>
        <v>#N/A</v>
      </c>
      <c r="AU25" s="388" t="e">
        <f t="shared" si="60"/>
        <v>#N/A</v>
      </c>
      <c r="AV25" s="388" t="e">
        <f t="shared" si="61"/>
        <v>#N/A</v>
      </c>
      <c r="AW25" s="388" t="e">
        <f t="shared" si="62"/>
        <v>#N/A</v>
      </c>
      <c r="AX25" s="388" t="e">
        <f t="shared" si="63"/>
        <v>#N/A</v>
      </c>
      <c r="AY25" s="388" t="e">
        <f t="shared" si="64"/>
        <v>#N/A</v>
      </c>
      <c r="AZ25" s="388" t="e">
        <f t="shared" si="65"/>
        <v>#N/A</v>
      </c>
      <c r="BA25" s="388" t="e">
        <f t="shared" si="66"/>
        <v>#N/A</v>
      </c>
      <c r="BB25" s="388" t="e">
        <f t="shared" si="67"/>
        <v>#N/A</v>
      </c>
      <c r="BC25" s="388" t="e">
        <f t="shared" si="68"/>
        <v>#N/A</v>
      </c>
      <c r="BD25" s="388" t="e">
        <f t="shared" si="69"/>
        <v>#N/A</v>
      </c>
      <c r="BE25" s="388" t="e">
        <f t="shared" si="70"/>
        <v>#N/A</v>
      </c>
      <c r="BF25" s="388" t="e">
        <f t="shared" si="71"/>
        <v>#N/A</v>
      </c>
      <c r="BG25" s="388" t="e">
        <f t="shared" si="72"/>
        <v>#N/A</v>
      </c>
      <c r="BH25" s="388" t="e">
        <f t="shared" si="73"/>
        <v>#N/A</v>
      </c>
    </row>
    <row r="26" spans="1:60" s="365" customFormat="1" x14ac:dyDescent="0.2">
      <c r="A26" s="389">
        <v>9</v>
      </c>
      <c r="B26" s="390" t="s">
        <v>241</v>
      </c>
      <c r="C26" s="455">
        <f>SUM(C18:D25)</f>
        <v>1644941</v>
      </c>
      <c r="D26" s="456"/>
      <c r="E26" s="391">
        <f>'Анализ стоимости'!AJ62</f>
        <v>1644941</v>
      </c>
      <c r="F26" s="379">
        <f>IF('Анализ стоимости'!AJ19&gt;0,'Анализ стоимости'!A19,0)</f>
        <v>0</v>
      </c>
      <c r="G26" s="380"/>
      <c r="H26" s="359"/>
      <c r="I26" s="359"/>
      <c r="J26" s="364"/>
      <c r="K26" s="365">
        <v>1</v>
      </c>
      <c r="M26" s="388"/>
      <c r="N26" s="388"/>
      <c r="O26" s="388"/>
      <c r="P26" s="388"/>
      <c r="Q26" s="388"/>
      <c r="R26" s="388"/>
      <c r="S26" s="388"/>
      <c r="T26" s="388"/>
      <c r="U26" s="388"/>
      <c r="V26" s="388"/>
      <c r="W26" s="388"/>
      <c r="X26" s="388"/>
      <c r="Y26" s="388"/>
      <c r="Z26" s="388"/>
      <c r="AA26" s="388"/>
      <c r="AB26" s="388"/>
      <c r="AC26" s="388"/>
      <c r="AD26" s="388"/>
      <c r="AE26" s="388"/>
      <c r="AF26" s="388"/>
      <c r="AG26" s="388"/>
      <c r="AH26" s="388"/>
      <c r="AI26" s="388"/>
      <c r="AJ26" s="388"/>
    </row>
    <row r="27" spans="1:60" x14ac:dyDescent="0.25">
      <c r="A27" s="464" t="s">
        <v>231</v>
      </c>
      <c r="B27" s="464"/>
      <c r="C27" s="464"/>
      <c r="D27" s="464"/>
      <c r="F27" s="379">
        <f>IF('Анализ стоимости'!AJ20&gt;0,'Анализ стоимости'!A20,0)</f>
        <v>0</v>
      </c>
      <c r="G27" s="380"/>
      <c r="K27" s="355">
        <v>1</v>
      </c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388"/>
      <c r="AJ27" s="388"/>
    </row>
    <row r="28" spans="1:60" ht="31.5" x14ac:dyDescent="0.25">
      <c r="A28" s="392" t="s">
        <v>111</v>
      </c>
      <c r="B28" s="385" t="s">
        <v>36</v>
      </c>
      <c r="C28" s="385" t="s">
        <v>221</v>
      </c>
      <c r="D28" s="385" t="s">
        <v>168</v>
      </c>
      <c r="F28" s="379">
        <f>IF('Анализ стоимости'!AJ21&gt;0,'Анализ стоимости'!A21,0)</f>
        <v>0</v>
      </c>
      <c r="G28" s="380"/>
      <c r="K28" s="355">
        <v>1</v>
      </c>
      <c r="M28" s="388"/>
      <c r="N28" s="388"/>
      <c r="O28" s="388"/>
      <c r="P28" s="388"/>
      <c r="Q28" s="388"/>
      <c r="R28" s="388"/>
      <c r="S28" s="388"/>
      <c r="T28" s="388"/>
      <c r="U28" s="388"/>
      <c r="V28" s="388"/>
      <c r="W28" s="388"/>
      <c r="X28" s="388"/>
      <c r="Y28" s="388"/>
      <c r="Z28" s="388"/>
      <c r="AA28" s="388"/>
      <c r="AB28" s="388"/>
      <c r="AC28" s="388"/>
      <c r="AD28" s="388"/>
      <c r="AE28" s="388"/>
      <c r="AF28" s="388"/>
      <c r="AG28" s="388"/>
      <c r="AH28" s="388"/>
      <c r="AI28" s="388"/>
      <c r="AJ28" s="388"/>
      <c r="AK28" s="393"/>
      <c r="AL28" s="393"/>
      <c r="AM28" s="393"/>
      <c r="AN28" s="393"/>
      <c r="AO28" s="393"/>
      <c r="AP28" s="393"/>
      <c r="AQ28" s="393"/>
      <c r="AR28" s="393"/>
      <c r="AS28" s="393"/>
      <c r="AT28" s="393"/>
      <c r="AU28" s="393"/>
      <c r="AV28" s="393"/>
      <c r="AW28" s="393"/>
      <c r="AX28" s="393"/>
      <c r="AY28" s="393"/>
      <c r="AZ28" s="393"/>
      <c r="BA28" s="393"/>
      <c r="BB28" s="393"/>
      <c r="BC28" s="393"/>
      <c r="BD28" s="393"/>
      <c r="BE28" s="393"/>
      <c r="BF28" s="393"/>
      <c r="BG28" s="393"/>
      <c r="BH28" s="393"/>
    </row>
    <row r="29" spans="1:60" s="365" customFormat="1" x14ac:dyDescent="0.2">
      <c r="A29" s="389">
        <f>IF(D29=0,0,A26+1)</f>
        <v>10</v>
      </c>
      <c r="B29" s="390" t="s">
        <v>223</v>
      </c>
      <c r="C29" s="389" t="s">
        <v>224</v>
      </c>
      <c r="D29" s="394">
        <f>SUMIF(M29:BH29,$M$17)</f>
        <v>144919</v>
      </c>
      <c r="F29" s="379">
        <f>IF('Анализ стоимости'!AJ22&gt;0,'Анализ стоимости'!A22,0)</f>
        <v>0</v>
      </c>
      <c r="G29" s="380"/>
      <c r="H29" s="359"/>
      <c r="I29" s="359"/>
      <c r="J29" s="364"/>
      <c r="K29" s="365">
        <f t="shared" ref="K29:K38" si="74">IF(D29=0,"",1)</f>
        <v>1</v>
      </c>
      <c r="M29" s="388">
        <f>D63</f>
        <v>32308</v>
      </c>
      <c r="N29" s="388">
        <f>D97</f>
        <v>84450</v>
      </c>
      <c r="O29" s="388">
        <f>D131</f>
        <v>28161</v>
      </c>
      <c r="P29" s="388" t="e">
        <f>D165</f>
        <v>#N/A</v>
      </c>
      <c r="Q29" s="388" t="e">
        <f>D199</f>
        <v>#N/A</v>
      </c>
      <c r="R29" s="388" t="e">
        <f>D233</f>
        <v>#N/A</v>
      </c>
      <c r="S29" s="388" t="e">
        <f>D267</f>
        <v>#N/A</v>
      </c>
      <c r="T29" s="388" t="e">
        <f>D301</f>
        <v>#N/A</v>
      </c>
      <c r="U29" s="388" t="e">
        <f>D335</f>
        <v>#N/A</v>
      </c>
      <c r="V29" s="388" t="e">
        <f>D369</f>
        <v>#N/A</v>
      </c>
      <c r="W29" s="388" t="e">
        <f>D403</f>
        <v>#N/A</v>
      </c>
      <c r="X29" s="388" t="e">
        <f>D437</f>
        <v>#N/A</v>
      </c>
      <c r="Y29" s="388" t="e">
        <f>D471</f>
        <v>#N/A</v>
      </c>
      <c r="Z29" s="388" t="e">
        <f>D505</f>
        <v>#N/A</v>
      </c>
      <c r="AA29" s="388" t="e">
        <f>D539</f>
        <v>#N/A</v>
      </c>
      <c r="AB29" s="388" t="e">
        <f>D573</f>
        <v>#N/A</v>
      </c>
      <c r="AC29" s="388" t="e">
        <f>D607</f>
        <v>#N/A</v>
      </c>
      <c r="AD29" s="388" t="e">
        <f>D641</f>
        <v>#N/A</v>
      </c>
      <c r="AE29" s="388" t="e">
        <f>D675</f>
        <v>#N/A</v>
      </c>
      <c r="AF29" s="388" t="e">
        <f>D709</f>
        <v>#N/A</v>
      </c>
      <c r="AG29" s="388" t="e">
        <f>D743</f>
        <v>#N/A</v>
      </c>
      <c r="AH29" s="388" t="e">
        <f>D777</f>
        <v>#N/A</v>
      </c>
      <c r="AI29" s="388" t="e">
        <f>D811</f>
        <v>#N/A</v>
      </c>
      <c r="AJ29" s="388" t="e">
        <f>D845</f>
        <v>#N/A</v>
      </c>
      <c r="AK29" s="388" t="e">
        <f>D879</f>
        <v>#N/A</v>
      </c>
      <c r="AL29" s="388" t="e">
        <f>D913</f>
        <v>#N/A</v>
      </c>
      <c r="AM29" s="388" t="e">
        <f>D947</f>
        <v>#N/A</v>
      </c>
      <c r="AN29" s="388" t="e">
        <f>D981</f>
        <v>#N/A</v>
      </c>
      <c r="AO29" s="388" t="e">
        <f>D1015</f>
        <v>#N/A</v>
      </c>
      <c r="AP29" s="388" t="e">
        <f>D1049</f>
        <v>#N/A</v>
      </c>
      <c r="AQ29" s="388" t="e">
        <f>D1083</f>
        <v>#N/A</v>
      </c>
      <c r="AR29" s="388" t="e">
        <f>D1117</f>
        <v>#N/A</v>
      </c>
      <c r="AS29" s="388" t="e">
        <f>D1151</f>
        <v>#N/A</v>
      </c>
      <c r="AT29" s="388" t="e">
        <f>D1185</f>
        <v>#N/A</v>
      </c>
      <c r="AU29" s="388" t="e">
        <f>D1219</f>
        <v>#N/A</v>
      </c>
      <c r="AV29" s="388" t="e">
        <f>D1253</f>
        <v>#N/A</v>
      </c>
      <c r="AW29" s="388" t="e">
        <f>D1287</f>
        <v>#N/A</v>
      </c>
      <c r="AX29" s="388" t="e">
        <f>D1321</f>
        <v>#N/A</v>
      </c>
      <c r="AY29" s="388" t="e">
        <f>D1355</f>
        <v>#N/A</v>
      </c>
      <c r="AZ29" s="388" t="e">
        <f>D1389</f>
        <v>#N/A</v>
      </c>
      <c r="BA29" s="388" t="e">
        <f>D1423</f>
        <v>#N/A</v>
      </c>
      <c r="BB29" s="388" t="e">
        <f>D1457</f>
        <v>#N/A</v>
      </c>
      <c r="BC29" s="388" t="e">
        <f>D1491</f>
        <v>#N/A</v>
      </c>
      <c r="BD29" s="388" t="e">
        <f>D1525</f>
        <v>#N/A</v>
      </c>
      <c r="BE29" s="388" t="e">
        <f>D1559</f>
        <v>#N/A</v>
      </c>
      <c r="BF29" s="388" t="e">
        <f>D1593</f>
        <v>#N/A</v>
      </c>
      <c r="BG29" s="388" t="e">
        <f>D1627</f>
        <v>#N/A</v>
      </c>
      <c r="BH29" s="388" t="e">
        <f>D1661</f>
        <v>#N/A</v>
      </c>
    </row>
    <row r="30" spans="1:60" s="365" customFormat="1" hidden="1" x14ac:dyDescent="0.2">
      <c r="A30" s="389">
        <f>IF(D30=0,0,IF(D29=0,A26+1,A29+1))</f>
        <v>0</v>
      </c>
      <c r="B30" s="390" t="s">
        <v>351</v>
      </c>
      <c r="C30" s="389" t="s">
        <v>224</v>
      </c>
      <c r="D30" s="394">
        <f>SUMIF(M30:BH30,$M$17)</f>
        <v>0</v>
      </c>
      <c r="F30" s="379">
        <f>IF('Анализ стоимости'!AJ23&gt;0,'Анализ стоимости'!A23,0)</f>
        <v>0</v>
      </c>
      <c r="G30" s="380"/>
      <c r="H30" s="359"/>
      <c r="I30" s="359"/>
      <c r="J30" s="364"/>
      <c r="K30" s="365" t="str">
        <f t="shared" si="74"/>
        <v/>
      </c>
      <c r="M30" s="388">
        <f>D64</f>
        <v>0</v>
      </c>
      <c r="N30" s="388">
        <f>D98</f>
        <v>0</v>
      </c>
      <c r="O30" s="388">
        <f>D132</f>
        <v>0</v>
      </c>
      <c r="P30" s="388" t="e">
        <f>D166</f>
        <v>#N/A</v>
      </c>
      <c r="Q30" s="388" t="e">
        <f>D200</f>
        <v>#N/A</v>
      </c>
      <c r="R30" s="388" t="e">
        <f>D234</f>
        <v>#N/A</v>
      </c>
      <c r="S30" s="388" t="e">
        <f>D268</f>
        <v>#N/A</v>
      </c>
      <c r="T30" s="388" t="e">
        <f>D302</f>
        <v>#N/A</v>
      </c>
      <c r="U30" s="388" t="e">
        <f>D336</f>
        <v>#N/A</v>
      </c>
      <c r="V30" s="388" t="e">
        <f>D370</f>
        <v>#N/A</v>
      </c>
      <c r="W30" s="388" t="e">
        <f>D404</f>
        <v>#N/A</v>
      </c>
      <c r="X30" s="388" t="e">
        <f>D438</f>
        <v>#N/A</v>
      </c>
      <c r="Y30" s="388" t="e">
        <f>D472</f>
        <v>#N/A</v>
      </c>
      <c r="Z30" s="388" t="e">
        <f>D506</f>
        <v>#N/A</v>
      </c>
      <c r="AA30" s="388" t="e">
        <f>D540</f>
        <v>#N/A</v>
      </c>
      <c r="AB30" s="388" t="e">
        <f>D574</f>
        <v>#N/A</v>
      </c>
      <c r="AC30" s="388" t="e">
        <f>D608</f>
        <v>#N/A</v>
      </c>
      <c r="AD30" s="388" t="e">
        <f>D642</f>
        <v>#N/A</v>
      </c>
      <c r="AE30" s="388" t="e">
        <f>D676</f>
        <v>#N/A</v>
      </c>
      <c r="AF30" s="388" t="e">
        <f>D710</f>
        <v>#N/A</v>
      </c>
      <c r="AG30" s="388" t="e">
        <f>D744</f>
        <v>#N/A</v>
      </c>
      <c r="AH30" s="388" t="e">
        <f>D778</f>
        <v>#N/A</v>
      </c>
      <c r="AI30" s="388" t="e">
        <f>D812</f>
        <v>#N/A</v>
      </c>
      <c r="AJ30" s="388" t="e">
        <f>D846</f>
        <v>#N/A</v>
      </c>
      <c r="AK30" s="388" t="e">
        <f>D880</f>
        <v>#N/A</v>
      </c>
      <c r="AL30" s="388" t="e">
        <f>D914</f>
        <v>#N/A</v>
      </c>
      <c r="AM30" s="388" t="e">
        <f>D948</f>
        <v>#N/A</v>
      </c>
      <c r="AN30" s="388" t="e">
        <f>D982</f>
        <v>#N/A</v>
      </c>
      <c r="AO30" s="388" t="e">
        <f>D1016</f>
        <v>#N/A</v>
      </c>
      <c r="AP30" s="388" t="e">
        <f>D1050</f>
        <v>#N/A</v>
      </c>
      <c r="AQ30" s="388" t="e">
        <f>D1084</f>
        <v>#N/A</v>
      </c>
      <c r="AR30" s="388" t="e">
        <f>D1118</f>
        <v>#N/A</v>
      </c>
      <c r="AS30" s="388" t="e">
        <f>D1152</f>
        <v>#N/A</v>
      </c>
      <c r="AT30" s="388" t="e">
        <f>D1186</f>
        <v>#N/A</v>
      </c>
      <c r="AU30" s="388" t="e">
        <f>D1220</f>
        <v>#N/A</v>
      </c>
      <c r="AV30" s="388" t="e">
        <f>D1254</f>
        <v>#N/A</v>
      </c>
      <c r="AW30" s="388" t="e">
        <f>D1288</f>
        <v>#N/A</v>
      </c>
      <c r="AX30" s="388" t="e">
        <f>D1322</f>
        <v>#N/A</v>
      </c>
      <c r="AY30" s="388" t="e">
        <f>D1356</f>
        <v>#N/A</v>
      </c>
      <c r="AZ30" s="388" t="e">
        <f>D1390</f>
        <v>#N/A</v>
      </c>
      <c r="BA30" s="388" t="e">
        <f>D1424</f>
        <v>#N/A</v>
      </c>
      <c r="BB30" s="388" t="e">
        <f>D1458</f>
        <v>#N/A</v>
      </c>
      <c r="BC30" s="388" t="e">
        <f>D1492</f>
        <v>#N/A</v>
      </c>
      <c r="BD30" s="388" t="e">
        <f>D1526</f>
        <v>#N/A</v>
      </c>
      <c r="BE30" s="388" t="e">
        <f>D1560</f>
        <v>#N/A</v>
      </c>
      <c r="BF30" s="388" t="e">
        <f>D1594</f>
        <v>#N/A</v>
      </c>
      <c r="BG30" s="388" t="e">
        <f>D1628</f>
        <v>#N/A</v>
      </c>
      <c r="BH30" s="388" t="e">
        <f>D1662</f>
        <v>#N/A</v>
      </c>
    </row>
    <row r="31" spans="1:60" x14ac:dyDescent="0.25">
      <c r="A31" s="464" t="s">
        <v>225</v>
      </c>
      <c r="B31" s="464"/>
      <c r="C31" s="464"/>
      <c r="D31" s="464"/>
      <c r="F31" s="379">
        <f>IF('Анализ стоимости'!AJ24&gt;0,'Анализ стоимости'!A24,0)</f>
        <v>0</v>
      </c>
      <c r="G31" s="380"/>
      <c r="K31" s="355">
        <v>1</v>
      </c>
      <c r="M31" s="388"/>
      <c r="N31" s="388"/>
      <c r="O31" s="388"/>
      <c r="P31" s="388"/>
      <c r="Q31" s="388"/>
      <c r="R31" s="388"/>
      <c r="S31" s="388"/>
      <c r="T31" s="388"/>
      <c r="U31" s="388"/>
      <c r="V31" s="388"/>
      <c r="W31" s="388"/>
      <c r="X31" s="388"/>
      <c r="Y31" s="388"/>
      <c r="Z31" s="388"/>
      <c r="AA31" s="388"/>
      <c r="AB31" s="388"/>
      <c r="AC31" s="388"/>
      <c r="AD31" s="388"/>
      <c r="AE31" s="388"/>
      <c r="AF31" s="388"/>
      <c r="AG31" s="388"/>
      <c r="AH31" s="388"/>
      <c r="AI31" s="388"/>
      <c r="AJ31" s="388"/>
    </row>
    <row r="32" spans="1:60" s="365" customFormat="1" ht="31.5" x14ac:dyDescent="0.2">
      <c r="A32" s="389">
        <f>IF(D32=0,0,IF(D30=0,IF(D29=0,A26+1,A29+1),A30+1))</f>
        <v>11</v>
      </c>
      <c r="B32" s="395" t="s">
        <v>275</v>
      </c>
      <c r="C32" s="389" t="s">
        <v>224</v>
      </c>
      <c r="D32" s="394">
        <f>SUMIF(M32:BH32,$M$17)</f>
        <v>1789860</v>
      </c>
      <c r="F32" s="379">
        <f>IF('Анализ стоимости'!AJ25&gt;0,'Анализ стоимости'!A25,0)</f>
        <v>0</v>
      </c>
      <c r="G32" s="380"/>
      <c r="H32" s="359"/>
      <c r="I32" s="359"/>
      <c r="J32" s="364"/>
      <c r="K32" s="365">
        <f t="shared" si="74"/>
        <v>1</v>
      </c>
      <c r="M32" s="388">
        <f>D66</f>
        <v>399028</v>
      </c>
      <c r="N32" s="388">
        <f>D100</f>
        <v>1043026</v>
      </c>
      <c r="O32" s="388">
        <f>D134</f>
        <v>347806</v>
      </c>
      <c r="P32" s="388" t="e">
        <f>D168</f>
        <v>#N/A</v>
      </c>
      <c r="Q32" s="388" t="e">
        <f>D202</f>
        <v>#N/A</v>
      </c>
      <c r="R32" s="388" t="e">
        <f>D236</f>
        <v>#N/A</v>
      </c>
      <c r="S32" s="388" t="e">
        <f>D270</f>
        <v>#N/A</v>
      </c>
      <c r="T32" s="388" t="e">
        <f>D304</f>
        <v>#N/A</v>
      </c>
      <c r="U32" s="388" t="e">
        <f>D338</f>
        <v>#N/A</v>
      </c>
      <c r="V32" s="388" t="e">
        <f>D372</f>
        <v>#N/A</v>
      </c>
      <c r="W32" s="388" t="e">
        <f>D406</f>
        <v>#N/A</v>
      </c>
      <c r="X32" s="388" t="e">
        <f>D440</f>
        <v>#N/A</v>
      </c>
      <c r="Y32" s="388" t="e">
        <f>D474</f>
        <v>#N/A</v>
      </c>
      <c r="Z32" s="388" t="e">
        <f>D508</f>
        <v>#N/A</v>
      </c>
      <c r="AA32" s="388" t="e">
        <f>D542</f>
        <v>#N/A</v>
      </c>
      <c r="AB32" s="388" t="e">
        <f>D576</f>
        <v>#N/A</v>
      </c>
      <c r="AC32" s="388" t="e">
        <f>D610</f>
        <v>#N/A</v>
      </c>
      <c r="AD32" s="388" t="e">
        <f>D644</f>
        <v>#N/A</v>
      </c>
      <c r="AE32" s="388" t="e">
        <f>D678</f>
        <v>#N/A</v>
      </c>
      <c r="AF32" s="388" t="e">
        <f>D712</f>
        <v>#N/A</v>
      </c>
      <c r="AG32" s="388" t="e">
        <f>D746</f>
        <v>#N/A</v>
      </c>
      <c r="AH32" s="388" t="e">
        <f>D780</f>
        <v>#N/A</v>
      </c>
      <c r="AI32" s="388" t="e">
        <f>D814</f>
        <v>#N/A</v>
      </c>
      <c r="AJ32" s="388" t="e">
        <f>D848</f>
        <v>#N/A</v>
      </c>
      <c r="AK32" s="388" t="e">
        <f>D882</f>
        <v>#N/A</v>
      </c>
      <c r="AL32" s="388" t="e">
        <f>D916</f>
        <v>#N/A</v>
      </c>
      <c r="AM32" s="388" t="e">
        <f>D950</f>
        <v>#N/A</v>
      </c>
      <c r="AN32" s="388" t="e">
        <f>D984</f>
        <v>#N/A</v>
      </c>
      <c r="AO32" s="388" t="e">
        <f>D1018</f>
        <v>#N/A</v>
      </c>
      <c r="AP32" s="388" t="e">
        <f>D1052</f>
        <v>#N/A</v>
      </c>
      <c r="AQ32" s="388" t="e">
        <f>D1086</f>
        <v>#N/A</v>
      </c>
      <c r="AR32" s="388" t="e">
        <f>D1120</f>
        <v>#N/A</v>
      </c>
      <c r="AS32" s="388" t="e">
        <f>D1154</f>
        <v>#N/A</v>
      </c>
      <c r="AT32" s="388" t="e">
        <f>D1188</f>
        <v>#N/A</v>
      </c>
      <c r="AU32" s="388" t="e">
        <f>D1222</f>
        <v>#N/A</v>
      </c>
      <c r="AV32" s="388" t="e">
        <f>D1256</f>
        <v>#N/A</v>
      </c>
      <c r="AW32" s="388" t="e">
        <f>D1290</f>
        <v>#N/A</v>
      </c>
      <c r="AX32" s="388" t="e">
        <f>D1324</f>
        <v>#N/A</v>
      </c>
      <c r="AY32" s="388" t="e">
        <f>D1358</f>
        <v>#N/A</v>
      </c>
      <c r="AZ32" s="388" t="e">
        <f>D1392</f>
        <v>#N/A</v>
      </c>
      <c r="BA32" s="388" t="e">
        <f>D1426</f>
        <v>#N/A</v>
      </c>
      <c r="BB32" s="388" t="e">
        <f>D1460</f>
        <v>#N/A</v>
      </c>
      <c r="BC32" s="388" t="e">
        <f>D1494</f>
        <v>#N/A</v>
      </c>
      <c r="BD32" s="388" t="e">
        <f>D1528</f>
        <v>#N/A</v>
      </c>
      <c r="BE32" s="388" t="e">
        <f>D1562</f>
        <v>#N/A</v>
      </c>
      <c r="BF32" s="388" t="e">
        <f>D1596</f>
        <v>#N/A</v>
      </c>
      <c r="BG32" s="388" t="e">
        <f>D1630</f>
        <v>#N/A</v>
      </c>
      <c r="BH32" s="388" t="e">
        <f>D1664</f>
        <v>#N/A</v>
      </c>
    </row>
    <row r="33" spans="1:60" s="365" customFormat="1" x14ac:dyDescent="0.2">
      <c r="A33" s="389">
        <f>IF(D33=0,0,A32+1)</f>
        <v>12</v>
      </c>
      <c r="B33" s="395" t="s">
        <v>227</v>
      </c>
      <c r="C33" s="389" t="s">
        <v>224</v>
      </c>
      <c r="D33" s="394">
        <f>SUMIF(M33:BH33,$M$17)</f>
        <v>322175</v>
      </c>
      <c r="F33" s="379">
        <f>IF('Анализ стоимости'!AJ26&gt;0,'Анализ стоимости'!A26,0)</f>
        <v>0</v>
      </c>
      <c r="G33" s="380"/>
      <c r="H33" s="359"/>
      <c r="I33" s="396"/>
      <c r="J33" s="364"/>
      <c r="K33" s="365">
        <f t="shared" si="74"/>
        <v>1</v>
      </c>
      <c r="M33" s="388">
        <f>D67</f>
        <v>71825</v>
      </c>
      <c r="N33" s="388">
        <f>D101</f>
        <v>187745</v>
      </c>
      <c r="O33" s="388">
        <f>D135</f>
        <v>62605</v>
      </c>
      <c r="P33" s="388" t="e">
        <f>D169</f>
        <v>#N/A</v>
      </c>
      <c r="Q33" s="388" t="e">
        <f>D203</f>
        <v>#N/A</v>
      </c>
      <c r="R33" s="388" t="e">
        <f>D237</f>
        <v>#N/A</v>
      </c>
      <c r="S33" s="388" t="e">
        <f>D271</f>
        <v>#N/A</v>
      </c>
      <c r="T33" s="388" t="e">
        <f>D305</f>
        <v>#N/A</v>
      </c>
      <c r="U33" s="388" t="e">
        <f>D339</f>
        <v>#N/A</v>
      </c>
      <c r="V33" s="388" t="e">
        <f>D373</f>
        <v>#N/A</v>
      </c>
      <c r="W33" s="388" t="e">
        <f>D407</f>
        <v>#N/A</v>
      </c>
      <c r="X33" s="388" t="e">
        <f>D441</f>
        <v>#N/A</v>
      </c>
      <c r="Y33" s="388" t="e">
        <f>D475</f>
        <v>#N/A</v>
      </c>
      <c r="Z33" s="388" t="e">
        <f>D509</f>
        <v>#N/A</v>
      </c>
      <c r="AA33" s="388" t="e">
        <f>D543</f>
        <v>#N/A</v>
      </c>
      <c r="AB33" s="388" t="e">
        <f>D577</f>
        <v>#N/A</v>
      </c>
      <c r="AC33" s="388" t="e">
        <f>D611</f>
        <v>#N/A</v>
      </c>
      <c r="AD33" s="388" t="e">
        <f>D645</f>
        <v>#N/A</v>
      </c>
      <c r="AE33" s="388" t="e">
        <f>D679</f>
        <v>#N/A</v>
      </c>
      <c r="AF33" s="388" t="e">
        <f>D713</f>
        <v>#N/A</v>
      </c>
      <c r="AG33" s="388" t="e">
        <f>D747</f>
        <v>#N/A</v>
      </c>
      <c r="AH33" s="388" t="e">
        <f>D781</f>
        <v>#N/A</v>
      </c>
      <c r="AI33" s="388" t="e">
        <f>D815</f>
        <v>#N/A</v>
      </c>
      <c r="AJ33" s="388" t="e">
        <f>D849</f>
        <v>#N/A</v>
      </c>
      <c r="AK33" s="388" t="e">
        <f>D883</f>
        <v>#N/A</v>
      </c>
      <c r="AL33" s="388" t="e">
        <f>D917</f>
        <v>#N/A</v>
      </c>
      <c r="AM33" s="388" t="e">
        <f>D951</f>
        <v>#N/A</v>
      </c>
      <c r="AN33" s="388" t="e">
        <f>D985</f>
        <v>#N/A</v>
      </c>
      <c r="AO33" s="388" t="e">
        <f>D1019</f>
        <v>#N/A</v>
      </c>
      <c r="AP33" s="388" t="e">
        <f>D1053</f>
        <v>#N/A</v>
      </c>
      <c r="AQ33" s="388" t="e">
        <f>D1087</f>
        <v>#N/A</v>
      </c>
      <c r="AR33" s="388" t="e">
        <f>D1121</f>
        <v>#N/A</v>
      </c>
      <c r="AS33" s="388" t="e">
        <f>D1155</f>
        <v>#N/A</v>
      </c>
      <c r="AT33" s="388" t="e">
        <f>D1189</f>
        <v>#N/A</v>
      </c>
      <c r="AU33" s="388" t="e">
        <f>D1223</f>
        <v>#N/A</v>
      </c>
      <c r="AV33" s="388" t="e">
        <f>D1257</f>
        <v>#N/A</v>
      </c>
      <c r="AW33" s="388" t="e">
        <f>D1291</f>
        <v>#N/A</v>
      </c>
      <c r="AX33" s="388" t="e">
        <f>D1325</f>
        <v>#N/A</v>
      </c>
      <c r="AY33" s="388" t="e">
        <f>D1359</f>
        <v>#N/A</v>
      </c>
      <c r="AZ33" s="388" t="e">
        <f>D1393</f>
        <v>#N/A</v>
      </c>
      <c r="BA33" s="388" t="e">
        <f>D1427</f>
        <v>#N/A</v>
      </c>
      <c r="BB33" s="388" t="e">
        <f>D1461</f>
        <v>#N/A</v>
      </c>
      <c r="BC33" s="388" t="e">
        <f>D1495</f>
        <v>#N/A</v>
      </c>
      <c r="BD33" s="388" t="e">
        <f>D1529</f>
        <v>#N/A</v>
      </c>
      <c r="BE33" s="388" t="e">
        <f>D1563</f>
        <v>#N/A</v>
      </c>
      <c r="BF33" s="388" t="e">
        <f>D1597</f>
        <v>#N/A</v>
      </c>
      <c r="BG33" s="388" t="e">
        <f>D1631</f>
        <v>#N/A</v>
      </c>
      <c r="BH33" s="388" t="e">
        <f>D1665</f>
        <v>#N/A</v>
      </c>
    </row>
    <row r="34" spans="1:60" s="365" customFormat="1" x14ac:dyDescent="0.25">
      <c r="A34" s="389">
        <f>IF(D34=0,0,A33+1)</f>
        <v>13</v>
      </c>
      <c r="B34" s="395" t="s">
        <v>274</v>
      </c>
      <c r="C34" s="389" t="s">
        <v>224</v>
      </c>
      <c r="D34" s="397">
        <f>SUM(D32:D33)</f>
        <v>2112035</v>
      </c>
      <c r="E34" s="391">
        <f>'Анализ стоимости'!BS62</f>
        <v>2112035</v>
      </c>
      <c r="F34" s="379">
        <f>IF('Анализ стоимости'!AJ27&gt;0,'Анализ стоимости'!A27,0)</f>
        <v>0</v>
      </c>
      <c r="G34" s="380"/>
      <c r="H34" s="359"/>
      <c r="I34" s="398"/>
      <c r="J34" s="364"/>
      <c r="K34" s="365">
        <f t="shared" si="74"/>
        <v>1</v>
      </c>
      <c r="M34" s="388"/>
      <c r="N34" s="388"/>
      <c r="O34" s="388"/>
      <c r="P34" s="388"/>
      <c r="Q34" s="388"/>
      <c r="R34" s="388"/>
      <c r="S34" s="388"/>
      <c r="T34" s="388"/>
      <c r="U34" s="388"/>
      <c r="V34" s="388"/>
      <c r="W34" s="388"/>
      <c r="X34" s="388"/>
      <c r="Y34" s="388"/>
      <c r="Z34" s="388"/>
      <c r="AA34" s="388"/>
      <c r="AB34" s="388"/>
      <c r="AC34" s="388"/>
      <c r="AD34" s="388"/>
      <c r="AE34" s="388"/>
      <c r="AF34" s="388"/>
      <c r="AG34" s="388"/>
      <c r="AH34" s="388"/>
      <c r="AI34" s="388"/>
      <c r="AJ34" s="388"/>
    </row>
    <row r="35" spans="1:60" s="365" customFormat="1" ht="31.5" hidden="1" x14ac:dyDescent="0.25">
      <c r="A35" s="389">
        <f>IF(D35=0,0,IF(D34=0,IF(D30=0,A26+1,A30+1),A34+1))</f>
        <v>0</v>
      </c>
      <c r="B35" s="395" t="s">
        <v>349</v>
      </c>
      <c r="C35" s="389" t="s">
        <v>224</v>
      </c>
      <c r="D35" s="394">
        <f>SUMIF(M35:BH35,$M$17)</f>
        <v>0</v>
      </c>
      <c r="E35" s="355"/>
      <c r="F35" s="379">
        <f>IF('Анализ стоимости'!AJ28&gt;0,'Анализ стоимости'!A28,0)</f>
        <v>0</v>
      </c>
      <c r="G35" s="380"/>
      <c r="H35" s="359"/>
      <c r="I35" s="398"/>
      <c r="J35" s="364"/>
      <c r="K35" s="365" t="str">
        <f t="shared" si="74"/>
        <v/>
      </c>
      <c r="M35" s="388">
        <f>D69</f>
        <v>0</v>
      </c>
      <c r="N35" s="388">
        <f>D103</f>
        <v>0</v>
      </c>
      <c r="O35" s="388">
        <f>D137</f>
        <v>0</v>
      </c>
      <c r="P35" s="388" t="e">
        <f>D171</f>
        <v>#N/A</v>
      </c>
      <c r="Q35" s="388" t="e">
        <f>D205</f>
        <v>#N/A</v>
      </c>
      <c r="R35" s="388" t="e">
        <f>D239</f>
        <v>#N/A</v>
      </c>
      <c r="S35" s="388" t="e">
        <f>D273</f>
        <v>#N/A</v>
      </c>
      <c r="T35" s="388" t="e">
        <f>D307</f>
        <v>#N/A</v>
      </c>
      <c r="U35" s="388" t="e">
        <f>D341</f>
        <v>#N/A</v>
      </c>
      <c r="V35" s="388" t="e">
        <f>D375</f>
        <v>#N/A</v>
      </c>
      <c r="W35" s="388" t="e">
        <f>D409</f>
        <v>#N/A</v>
      </c>
      <c r="X35" s="388" t="e">
        <f>D443</f>
        <v>#N/A</v>
      </c>
      <c r="Y35" s="388" t="e">
        <f>D477</f>
        <v>#N/A</v>
      </c>
      <c r="Z35" s="388" t="e">
        <f>D511</f>
        <v>#N/A</v>
      </c>
      <c r="AA35" s="388" t="e">
        <f>D545</f>
        <v>#N/A</v>
      </c>
      <c r="AB35" s="388" t="e">
        <f>D579</f>
        <v>#N/A</v>
      </c>
      <c r="AC35" s="388" t="e">
        <f>D613</f>
        <v>#N/A</v>
      </c>
      <c r="AD35" s="388" t="e">
        <f>D647</f>
        <v>#N/A</v>
      </c>
      <c r="AE35" s="388" t="e">
        <f>D681</f>
        <v>#N/A</v>
      </c>
      <c r="AF35" s="388" t="e">
        <f>D715</f>
        <v>#N/A</v>
      </c>
      <c r="AG35" s="388" t="e">
        <f>D749</f>
        <v>#N/A</v>
      </c>
      <c r="AH35" s="388" t="e">
        <f>D783</f>
        <v>#N/A</v>
      </c>
      <c r="AI35" s="388" t="e">
        <f>D817</f>
        <v>#N/A</v>
      </c>
      <c r="AJ35" s="388" t="e">
        <f>D851</f>
        <v>#N/A</v>
      </c>
      <c r="AK35" s="388" t="e">
        <f>D885</f>
        <v>#N/A</v>
      </c>
      <c r="AL35" s="388" t="e">
        <f>D919</f>
        <v>#N/A</v>
      </c>
      <c r="AM35" s="388" t="e">
        <f>D953</f>
        <v>#N/A</v>
      </c>
      <c r="AN35" s="388" t="e">
        <f>D987</f>
        <v>#N/A</v>
      </c>
      <c r="AO35" s="388" t="e">
        <f>D1021</f>
        <v>#N/A</v>
      </c>
      <c r="AP35" s="388" t="e">
        <f>D1055</f>
        <v>#N/A</v>
      </c>
      <c r="AQ35" s="388" t="e">
        <f>D1089</f>
        <v>#N/A</v>
      </c>
      <c r="AR35" s="388" t="e">
        <f>D1123</f>
        <v>#N/A</v>
      </c>
      <c r="AS35" s="388" t="e">
        <f>D1157</f>
        <v>#N/A</v>
      </c>
      <c r="AT35" s="388" t="e">
        <f>D1191</f>
        <v>#N/A</v>
      </c>
      <c r="AU35" s="388" t="e">
        <f>D1225</f>
        <v>#N/A</v>
      </c>
      <c r="AV35" s="388" t="e">
        <f>D1259</f>
        <v>#N/A</v>
      </c>
      <c r="AW35" s="388" t="e">
        <f>D1293</f>
        <v>#N/A</v>
      </c>
      <c r="AX35" s="388" t="e">
        <f>D1327</f>
        <v>#N/A</v>
      </c>
      <c r="AY35" s="388" t="e">
        <f>D1361</f>
        <v>#N/A</v>
      </c>
      <c r="AZ35" s="388" t="e">
        <f>D1395</f>
        <v>#N/A</v>
      </c>
      <c r="BA35" s="388" t="e">
        <f>D1429</f>
        <v>#N/A</v>
      </c>
      <c r="BB35" s="388" t="e">
        <f>D1463</f>
        <v>#N/A</v>
      </c>
      <c r="BC35" s="388" t="e">
        <f>D1497</f>
        <v>#N/A</v>
      </c>
      <c r="BD35" s="388" t="e">
        <f>D1531</f>
        <v>#N/A</v>
      </c>
      <c r="BE35" s="388" t="e">
        <f>D1565</f>
        <v>#N/A</v>
      </c>
      <c r="BF35" s="388" t="e">
        <f>D1599</f>
        <v>#N/A</v>
      </c>
      <c r="BG35" s="388" t="e">
        <f>D1633</f>
        <v>#N/A</v>
      </c>
      <c r="BH35" s="388" t="e">
        <f>D1667</f>
        <v>#N/A</v>
      </c>
    </row>
    <row r="36" spans="1:60" s="365" customFormat="1" hidden="1" x14ac:dyDescent="0.25">
      <c r="A36" s="389">
        <f>IF(D36=0,0,A35+1)</f>
        <v>0</v>
      </c>
      <c r="B36" s="395" t="s">
        <v>227</v>
      </c>
      <c r="C36" s="389" t="s">
        <v>224</v>
      </c>
      <c r="D36" s="394">
        <f>SUMIF(M36:BH36,$M$17)</f>
        <v>0</v>
      </c>
      <c r="E36" s="355"/>
      <c r="F36" s="379">
        <f>IF('Анализ стоимости'!AJ29&gt;0,'Анализ стоимости'!A29,0)</f>
        <v>0</v>
      </c>
      <c r="G36" s="380"/>
      <c r="H36" s="359"/>
      <c r="I36" s="398"/>
      <c r="J36" s="364"/>
      <c r="K36" s="365" t="str">
        <f t="shared" si="74"/>
        <v/>
      </c>
      <c r="M36" s="388">
        <f>D70</f>
        <v>0</v>
      </c>
      <c r="N36" s="388">
        <f>D104</f>
        <v>0</v>
      </c>
      <c r="O36" s="388">
        <f>D138</f>
        <v>0</v>
      </c>
      <c r="P36" s="388" t="e">
        <f>D172</f>
        <v>#N/A</v>
      </c>
      <c r="Q36" s="388" t="e">
        <f>D206</f>
        <v>#N/A</v>
      </c>
      <c r="R36" s="388" t="e">
        <f>D240</f>
        <v>#N/A</v>
      </c>
      <c r="S36" s="388" t="e">
        <f>D274</f>
        <v>#N/A</v>
      </c>
      <c r="T36" s="388" t="e">
        <f>D308</f>
        <v>#N/A</v>
      </c>
      <c r="U36" s="388" t="e">
        <f>D342</f>
        <v>#N/A</v>
      </c>
      <c r="V36" s="388" t="e">
        <f>D376</f>
        <v>#N/A</v>
      </c>
      <c r="W36" s="388" t="e">
        <f>D410</f>
        <v>#N/A</v>
      </c>
      <c r="X36" s="388" t="e">
        <f>D444</f>
        <v>#N/A</v>
      </c>
      <c r="Y36" s="388" t="e">
        <f>D478</f>
        <v>#N/A</v>
      </c>
      <c r="Z36" s="388" t="e">
        <f>D512</f>
        <v>#N/A</v>
      </c>
      <c r="AA36" s="388" t="e">
        <f>D546</f>
        <v>#N/A</v>
      </c>
      <c r="AB36" s="388" t="e">
        <f>D580</f>
        <v>#N/A</v>
      </c>
      <c r="AC36" s="388" t="e">
        <f>D614</f>
        <v>#N/A</v>
      </c>
      <c r="AD36" s="388" t="e">
        <f>D648</f>
        <v>#N/A</v>
      </c>
      <c r="AE36" s="388" t="e">
        <f>D682</f>
        <v>#N/A</v>
      </c>
      <c r="AF36" s="388" t="e">
        <f>D716</f>
        <v>#N/A</v>
      </c>
      <c r="AG36" s="388" t="e">
        <f>D750</f>
        <v>#N/A</v>
      </c>
      <c r="AH36" s="388" t="e">
        <f>D784</f>
        <v>#N/A</v>
      </c>
      <c r="AI36" s="388" t="e">
        <f>D818</f>
        <v>#N/A</v>
      </c>
      <c r="AJ36" s="388" t="e">
        <f>D852</f>
        <v>#N/A</v>
      </c>
      <c r="AK36" s="388" t="e">
        <f>D886</f>
        <v>#N/A</v>
      </c>
      <c r="AL36" s="388" t="e">
        <f>D920</f>
        <v>#N/A</v>
      </c>
      <c r="AM36" s="388" t="e">
        <f>D954</f>
        <v>#N/A</v>
      </c>
      <c r="AN36" s="388" t="e">
        <f>D988</f>
        <v>#N/A</v>
      </c>
      <c r="AO36" s="388" t="e">
        <f>D1022</f>
        <v>#N/A</v>
      </c>
      <c r="AP36" s="388" t="e">
        <f>D1056</f>
        <v>#N/A</v>
      </c>
      <c r="AQ36" s="388" t="e">
        <f>D1090</f>
        <v>#N/A</v>
      </c>
      <c r="AR36" s="388" t="e">
        <f>D1124</f>
        <v>#N/A</v>
      </c>
      <c r="AS36" s="388" t="e">
        <f>D1158</f>
        <v>#N/A</v>
      </c>
      <c r="AT36" s="388" t="e">
        <f>D1192</f>
        <v>#N/A</v>
      </c>
      <c r="AU36" s="388" t="e">
        <f>D1226</f>
        <v>#N/A</v>
      </c>
      <c r="AV36" s="388" t="e">
        <f>D1260</f>
        <v>#N/A</v>
      </c>
      <c r="AW36" s="388" t="e">
        <f>D1294</f>
        <v>#N/A</v>
      </c>
      <c r="AX36" s="388" t="e">
        <f>D1328</f>
        <v>#N/A</v>
      </c>
      <c r="AY36" s="388" t="e">
        <f>D1362</f>
        <v>#N/A</v>
      </c>
      <c r="AZ36" s="388" t="e">
        <f>D1396</f>
        <v>#N/A</v>
      </c>
      <c r="BA36" s="388" t="e">
        <f>D1430</f>
        <v>#N/A</v>
      </c>
      <c r="BB36" s="388" t="e">
        <f>D1464</f>
        <v>#N/A</v>
      </c>
      <c r="BC36" s="388" t="e">
        <f>D1498</f>
        <v>#N/A</v>
      </c>
      <c r="BD36" s="388" t="e">
        <f>D1532</f>
        <v>#N/A</v>
      </c>
      <c r="BE36" s="388" t="e">
        <f>D1566</f>
        <v>#N/A</v>
      </c>
      <c r="BF36" s="388" t="e">
        <f>D1600</f>
        <v>#N/A</v>
      </c>
      <c r="BG36" s="388" t="e">
        <f>D1634</f>
        <v>#N/A</v>
      </c>
      <c r="BH36" s="388" t="e">
        <f>D1668</f>
        <v>#N/A</v>
      </c>
    </row>
    <row r="37" spans="1:60" s="365" customFormat="1" hidden="1" x14ac:dyDescent="0.25">
      <c r="A37" s="389">
        <f>IF(D37=0,0,A36+1)</f>
        <v>0</v>
      </c>
      <c r="B37" s="395" t="s">
        <v>350</v>
      </c>
      <c r="C37" s="389" t="s">
        <v>224</v>
      </c>
      <c r="D37" s="397">
        <f>SUM(D35:D36)</f>
        <v>0</v>
      </c>
      <c r="E37" s="391">
        <f>'Анализ стоимости'!BT62</f>
        <v>0</v>
      </c>
      <c r="F37" s="379">
        <f>IF('Анализ стоимости'!AJ30&gt;0,'Анализ стоимости'!A30,0)</f>
        <v>0</v>
      </c>
      <c r="G37" s="380"/>
      <c r="H37" s="359"/>
      <c r="I37" s="398"/>
      <c r="J37" s="364"/>
      <c r="K37" s="365" t="str">
        <f t="shared" si="74"/>
        <v/>
      </c>
      <c r="M37" s="388"/>
      <c r="N37" s="388"/>
      <c r="O37" s="388"/>
      <c r="P37" s="388"/>
      <c r="Q37" s="388"/>
      <c r="R37" s="388"/>
      <c r="S37" s="388"/>
      <c r="T37" s="388"/>
      <c r="U37" s="388"/>
      <c r="V37" s="388"/>
      <c r="W37" s="388"/>
      <c r="X37" s="388"/>
      <c r="Y37" s="388"/>
      <c r="Z37" s="388"/>
      <c r="AA37" s="388"/>
      <c r="AB37" s="388"/>
      <c r="AC37" s="388"/>
      <c r="AD37" s="388"/>
      <c r="AE37" s="388"/>
      <c r="AF37" s="388"/>
      <c r="AG37" s="388"/>
      <c r="AH37" s="388"/>
      <c r="AI37" s="388"/>
      <c r="AJ37" s="388"/>
    </row>
    <row r="38" spans="1:60" s="371" customFormat="1" hidden="1" x14ac:dyDescent="0.25">
      <c r="A38" s="389">
        <f>IF(D38=0,0,A37+1)</f>
        <v>0</v>
      </c>
      <c r="B38" s="395" t="s">
        <v>226</v>
      </c>
      <c r="C38" s="389" t="s">
        <v>224</v>
      </c>
      <c r="D38" s="397">
        <f>IF(OR(D34=0,D37=0),0,D37+D34)</f>
        <v>0</v>
      </c>
      <c r="E38" s="391">
        <f>'Анализ стоимости'!BJ62</f>
        <v>2112035</v>
      </c>
      <c r="F38" s="379">
        <f>IF('Анализ стоимости'!AJ31&gt;0,'Анализ стоимости'!A31,0)</f>
        <v>0</v>
      </c>
      <c r="G38" s="380"/>
      <c r="H38" s="359"/>
      <c r="I38" s="399"/>
      <c r="J38" s="357"/>
      <c r="K38" s="365" t="str">
        <f t="shared" si="74"/>
        <v/>
      </c>
      <c r="M38" s="388"/>
      <c r="N38" s="388"/>
      <c r="O38" s="388"/>
      <c r="P38" s="388"/>
      <c r="Q38" s="388"/>
      <c r="R38" s="388"/>
      <c r="S38" s="388"/>
      <c r="T38" s="388"/>
      <c r="U38" s="388"/>
      <c r="V38" s="388"/>
      <c r="W38" s="388"/>
      <c r="X38" s="388"/>
      <c r="Y38" s="388"/>
      <c r="Z38" s="388"/>
      <c r="AA38" s="388"/>
      <c r="AB38" s="388"/>
      <c r="AC38" s="388"/>
      <c r="AD38" s="388"/>
      <c r="AE38" s="388"/>
      <c r="AF38" s="388"/>
      <c r="AG38" s="388"/>
      <c r="AH38" s="388"/>
      <c r="AI38" s="388"/>
      <c r="AJ38" s="388"/>
    </row>
    <row r="39" spans="1:60" s="371" customFormat="1" x14ac:dyDescent="0.25">
      <c r="A39" s="400"/>
      <c r="B39" s="400"/>
      <c r="C39" s="400"/>
      <c r="D39" s="401"/>
      <c r="F39" s="379">
        <f>IF('Анализ стоимости'!AJ32&gt;0,'Анализ стоимости'!A32,0)</f>
        <v>0</v>
      </c>
      <c r="G39" s="380"/>
      <c r="H39" s="359"/>
      <c r="I39" s="399"/>
      <c r="J39" s="357"/>
      <c r="K39" s="355">
        <v>1</v>
      </c>
    </row>
    <row r="40" spans="1:60" s="406" customFormat="1" ht="50.25" customHeight="1" x14ac:dyDescent="0.25">
      <c r="A40" s="465" t="str">
        <f>'Анализ стоимости'!$I$58</f>
        <v>Начальник финансового отдела</v>
      </c>
      <c r="B40" s="466"/>
      <c r="C40" s="402"/>
      <c r="D40" s="403" t="str">
        <f>'Анализ стоимости'!$I$59</f>
        <v>А.Ю.Кашуба</v>
      </c>
      <c r="E40" s="404"/>
      <c r="F40" s="379">
        <f>IF('Анализ стоимости'!AJ33&gt;0,'Анализ стоимости'!A33,0)</f>
        <v>0</v>
      </c>
      <c r="G40" s="380"/>
      <c r="H40" s="405" t="str">
        <f>A40</f>
        <v>Начальник финансового отдела</v>
      </c>
      <c r="I40" s="405"/>
      <c r="J40" s="357"/>
      <c r="K40" s="406">
        <v>1</v>
      </c>
    </row>
    <row r="41" spans="1:60" s="412" customFormat="1" ht="13.5" customHeight="1" x14ac:dyDescent="0.2">
      <c r="A41" s="407"/>
      <c r="B41" s="407"/>
      <c r="C41" s="407"/>
      <c r="D41" s="408"/>
      <c r="E41" s="409"/>
      <c r="F41" s="379">
        <f>IF('Анализ стоимости'!AJ34&gt;0,'Анализ стоимости'!A34,0)</f>
        <v>0</v>
      </c>
      <c r="G41" s="380"/>
      <c r="H41" s="410"/>
      <c r="I41" s="410"/>
      <c r="J41" s="411"/>
      <c r="K41" s="406">
        <v>1</v>
      </c>
    </row>
    <row r="42" spans="1:60" s="371" customFormat="1" x14ac:dyDescent="0.25">
      <c r="A42" s="462">
        <f ca="1">TODAY()</f>
        <v>42101</v>
      </c>
      <c r="B42" s="462"/>
      <c r="E42" s="413"/>
      <c r="F42" s="379">
        <f>IF('Анализ стоимости'!AJ35&gt;0,'Анализ стоимости'!A35,0)</f>
        <v>0</v>
      </c>
      <c r="G42" s="380"/>
      <c r="H42" s="369"/>
      <c r="I42" s="369"/>
      <c r="J42" s="357"/>
      <c r="K42" s="355">
        <v>1</v>
      </c>
    </row>
    <row r="43" spans="1:60" s="371" customFormat="1" x14ac:dyDescent="0.25">
      <c r="A43" s="463" t="s">
        <v>243</v>
      </c>
      <c r="B43" s="463"/>
      <c r="C43" s="463"/>
      <c r="D43" s="463"/>
      <c r="E43" s="413"/>
      <c r="F43" s="379">
        <f>IF('Анализ стоимости'!AJ36&gt;0,'Анализ стоимости'!A36,0)</f>
        <v>0</v>
      </c>
      <c r="G43" s="380"/>
      <c r="H43" s="369"/>
      <c r="I43" s="369"/>
      <c r="J43" s="357"/>
      <c r="K43" s="365">
        <f t="shared" ref="K43:K60" si="75">IF($F$11=0,"",1)</f>
        <v>1</v>
      </c>
    </row>
    <row r="44" spans="1:60" ht="47.25" customHeight="1" x14ac:dyDescent="0.2">
      <c r="A44" s="458" t="str">
        <f>CONCATENATE("Наименование объекта: ",VLOOKUP($F$11,таблица,9,0))</f>
        <v>Наименование объекта: Ремонт ул.Мира от ПК0+00 (дом №16) до ПК0+72 в х.Галицын</v>
      </c>
      <c r="B44" s="458"/>
      <c r="C44" s="458"/>
      <c r="D44" s="458"/>
      <c r="F44" s="379">
        <f>IF('Анализ стоимости'!AJ37&gt;0,'Анализ стоимости'!A37,0)</f>
        <v>0</v>
      </c>
      <c r="G44" s="380"/>
      <c r="J44" s="414" t="str">
        <f>A44</f>
        <v>Наименование объекта: Ремонт ул.Мира от ПК0+00 (дом №16) до ПК0+72 в х.Галицын</v>
      </c>
      <c r="K44" s="365">
        <f t="shared" si="75"/>
        <v>1</v>
      </c>
    </row>
    <row r="45" spans="1:60" ht="13.5" customHeight="1" x14ac:dyDescent="0.25">
      <c r="A45" s="383"/>
      <c r="B45" s="372"/>
      <c r="C45" s="372"/>
      <c r="D45" s="372"/>
      <c r="F45" s="379">
        <f>IF('Анализ стоимости'!AJ38&gt;0,'Анализ стоимости'!A38,0)</f>
        <v>0</v>
      </c>
      <c r="G45" s="380"/>
      <c r="K45" s="365">
        <f t="shared" si="75"/>
        <v>1</v>
      </c>
    </row>
    <row r="46" spans="1:60" x14ac:dyDescent="0.25">
      <c r="A46" s="415" t="s">
        <v>218</v>
      </c>
      <c r="B46" s="378"/>
      <c r="C46" s="378"/>
      <c r="D46" s="378"/>
      <c r="F46" s="379">
        <f>IF('Анализ стоимости'!AJ39&gt;0,'Анализ стоимости'!A39,0)</f>
        <v>0</v>
      </c>
      <c r="G46" s="380"/>
      <c r="K46" s="365">
        <f t="shared" si="75"/>
        <v>1</v>
      </c>
    </row>
    <row r="47" spans="1:60" x14ac:dyDescent="0.25">
      <c r="A47" s="459" t="s">
        <v>219</v>
      </c>
      <c r="B47" s="459"/>
      <c r="C47" s="459"/>
      <c r="D47" s="459"/>
      <c r="F47" s="379">
        <f>IF('Анализ стоимости'!AJ40&gt;0,'Анализ стоимости'!A40,0)</f>
        <v>0</v>
      </c>
      <c r="G47" s="380"/>
      <c r="K47" s="365">
        <f t="shared" si="75"/>
        <v>1</v>
      </c>
    </row>
    <row r="48" spans="1:60" ht="47.25" x14ac:dyDescent="0.25">
      <c r="A48" s="385" t="s">
        <v>111</v>
      </c>
      <c r="B48" s="385" t="s">
        <v>167</v>
      </c>
      <c r="C48" s="460" t="str">
        <f>CONCATENATE("Стоимость  согласно сметной документации (руб.) в текущих ценах по состоянию на ",VLOOKUP($F$11,таблица,5,0)," г.")</f>
        <v>Стоимость  согласно сметной документации (руб.) в текущих ценах по состоянию на 01.08.2014 г.</v>
      </c>
      <c r="D48" s="461"/>
      <c r="F48" s="379">
        <f>IF('Анализ стоимости'!AJ41&gt;0,'Анализ стоимости'!A41,0)</f>
        <v>0</v>
      </c>
      <c r="G48" s="380"/>
      <c r="I48" s="386" t="str">
        <f>C48</f>
        <v>Стоимость  согласно сметной документации (руб.) в текущих ценах по состоянию на 01.08.2014 г.</v>
      </c>
      <c r="K48" s="365">
        <f t="shared" si="75"/>
        <v>1</v>
      </c>
    </row>
    <row r="49" spans="1:11" x14ac:dyDescent="0.25">
      <c r="A49" s="389">
        <v>1</v>
      </c>
      <c r="B49" s="390" t="s">
        <v>68</v>
      </c>
      <c r="C49" s="455">
        <f>VLOOKUP($F$11,таблица,10,0)</f>
        <v>12251</v>
      </c>
      <c r="D49" s="456"/>
      <c r="F49" s="379">
        <f>IF('Анализ стоимости'!AJ42&gt;0,'Анализ стоимости'!A42,0)</f>
        <v>0</v>
      </c>
      <c r="G49" s="380"/>
      <c r="K49" s="365">
        <f t="shared" si="75"/>
        <v>1</v>
      </c>
    </row>
    <row r="50" spans="1:11" x14ac:dyDescent="0.25">
      <c r="A50" s="389">
        <v>2</v>
      </c>
      <c r="B50" s="390" t="s">
        <v>58</v>
      </c>
      <c r="C50" s="455">
        <f>VLOOKUP($F$11,таблица,11,0)</f>
        <v>16412</v>
      </c>
      <c r="D50" s="456"/>
      <c r="F50" s="379">
        <f>IF('Анализ стоимости'!AJ43&gt;0,'Анализ стоимости'!A43,0)</f>
        <v>0</v>
      </c>
      <c r="G50" s="380"/>
      <c r="K50" s="365">
        <f t="shared" si="75"/>
        <v>1</v>
      </c>
    </row>
    <row r="51" spans="1:11" ht="31.5" x14ac:dyDescent="0.25">
      <c r="A51" s="389">
        <v>3</v>
      </c>
      <c r="B51" s="390" t="s">
        <v>8</v>
      </c>
      <c r="C51" s="455">
        <f>VLOOKUP($F$11,таблица,12,0)</f>
        <v>312022</v>
      </c>
      <c r="D51" s="456"/>
      <c r="F51" s="379">
        <f>IF('Анализ стоимости'!AJ44&gt;0,'Анализ стоимости'!A44,0)</f>
        <v>0</v>
      </c>
      <c r="G51" s="380"/>
      <c r="K51" s="365">
        <f t="shared" si="75"/>
        <v>1</v>
      </c>
    </row>
    <row r="52" spans="1:11" x14ac:dyDescent="0.25">
      <c r="A52" s="389">
        <v>4</v>
      </c>
      <c r="B52" s="390" t="s">
        <v>59</v>
      </c>
      <c r="C52" s="455">
        <f>VLOOKUP($F$11,таблица,13,0)</f>
        <v>14591</v>
      </c>
      <c r="D52" s="456"/>
      <c r="F52" s="379">
        <f>IF('Анализ стоимости'!AJ45&gt;0,'Анализ стоимости'!A45,0)</f>
        <v>0</v>
      </c>
      <c r="G52" s="380"/>
      <c r="K52" s="365">
        <f t="shared" si="75"/>
        <v>1</v>
      </c>
    </row>
    <row r="53" spans="1:11" x14ac:dyDescent="0.25">
      <c r="A53" s="389">
        <v>5</v>
      </c>
      <c r="B53" s="390" t="s">
        <v>14</v>
      </c>
      <c r="C53" s="455">
        <f>VLOOKUP($F$11,таблица,14,0)</f>
        <v>7813</v>
      </c>
      <c r="D53" s="456"/>
      <c r="F53" s="379">
        <f>IF('Анализ стоимости'!AJ46&gt;0,'Анализ стоимости'!A46,0)</f>
        <v>0</v>
      </c>
      <c r="G53" s="380"/>
      <c r="K53" s="365">
        <f t="shared" si="75"/>
        <v>1</v>
      </c>
    </row>
    <row r="54" spans="1:11" x14ac:dyDescent="0.25">
      <c r="A54" s="389">
        <v>6</v>
      </c>
      <c r="B54" s="390" t="s">
        <v>23</v>
      </c>
      <c r="C54" s="455">
        <f>VLOOKUP($F$11,таблица,18,0)</f>
        <v>0</v>
      </c>
      <c r="D54" s="456"/>
      <c r="F54" s="379">
        <f>IF('Анализ стоимости'!AJ47&gt;0,'Анализ стоимости'!A47,0)</f>
        <v>0</v>
      </c>
      <c r="G54" s="380"/>
      <c r="K54" s="365">
        <f t="shared" si="75"/>
        <v>1</v>
      </c>
    </row>
    <row r="55" spans="1:11" x14ac:dyDescent="0.25">
      <c r="A55" s="389">
        <v>7</v>
      </c>
      <c r="B55" s="390" t="s">
        <v>156</v>
      </c>
      <c r="C55" s="455">
        <f>VLOOKUP($F$11,таблица,19,0)+VLOOKUP($F$11,таблица,21,0)+VLOOKUP($F$11,таблица,22,0)+VLOOKUP($F$11,таблица,23,0)+VLOOKUP($F$11,таблица,24,0)+VLOOKUP($F$11,таблица,25,0)+VLOOKUP($F$11,таблица,26,0)</f>
        <v>3631</v>
      </c>
      <c r="D55" s="456"/>
      <c r="F55" s="379">
        <f>IF('Анализ стоимости'!AJ48&gt;0,'Анализ стоимости'!A48,0)</f>
        <v>0</v>
      </c>
      <c r="G55" s="380"/>
      <c r="K55" s="365">
        <f t="shared" si="75"/>
        <v>1</v>
      </c>
    </row>
    <row r="56" spans="1:11" x14ac:dyDescent="0.25">
      <c r="A56" s="389">
        <v>8</v>
      </c>
      <c r="B56" s="390" t="s">
        <v>101</v>
      </c>
      <c r="C56" s="455">
        <f>VLOOKUP($F$11,таблица,31,0)</f>
        <v>0</v>
      </c>
      <c r="D56" s="456"/>
      <c r="F56" s="379">
        <f>IF('Анализ стоимости'!AJ49&gt;0,'Анализ стоимости'!A49,0)</f>
        <v>0</v>
      </c>
      <c r="G56" s="380"/>
      <c r="K56" s="365">
        <f t="shared" si="75"/>
        <v>1</v>
      </c>
    </row>
    <row r="57" spans="1:11" x14ac:dyDescent="0.25">
      <c r="A57" s="389">
        <v>9</v>
      </c>
      <c r="B57" s="390" t="s">
        <v>241</v>
      </c>
      <c r="C57" s="455">
        <f>SUM(C49:D56)</f>
        <v>366720</v>
      </c>
      <c r="D57" s="456"/>
      <c r="F57" s="379">
        <f>IF('Анализ стоимости'!AJ50&gt;0,'Анализ стоимости'!A50,0)</f>
        <v>0</v>
      </c>
      <c r="G57" s="380"/>
      <c r="K57" s="365">
        <f t="shared" si="75"/>
        <v>1</v>
      </c>
    </row>
    <row r="58" spans="1:11" x14ac:dyDescent="0.25">
      <c r="A58" s="464" t="s">
        <v>231</v>
      </c>
      <c r="B58" s="464"/>
      <c r="C58" s="464"/>
      <c r="D58" s="464"/>
      <c r="F58" s="379">
        <f>IF('Анализ стоимости'!AJ51&gt;0,'Анализ стоимости'!A51,0)</f>
        <v>0</v>
      </c>
      <c r="G58" s="416"/>
      <c r="K58" s="365">
        <f t="shared" si="75"/>
        <v>1</v>
      </c>
    </row>
    <row r="59" spans="1:11" ht="31.5" x14ac:dyDescent="0.25">
      <c r="A59" s="392" t="s">
        <v>111</v>
      </c>
      <c r="B59" s="385" t="s">
        <v>36</v>
      </c>
      <c r="C59" s="385" t="s">
        <v>221</v>
      </c>
      <c r="D59" s="385" t="s">
        <v>168</v>
      </c>
      <c r="K59" s="365">
        <f t="shared" si="75"/>
        <v>1</v>
      </c>
    </row>
    <row r="60" spans="1:11" ht="31.5" x14ac:dyDescent="0.25">
      <c r="A60" s="389">
        <v>10</v>
      </c>
      <c r="B60" s="389" t="str">
        <f>VLOOKUP((VLOOKUP($F$11,таблица,8,0)),рем_содер,2,0)</f>
        <v>Индексы-дефляторы Минэкономразвития РФ, применяемые к сметной стоимости</v>
      </c>
      <c r="C60" s="389"/>
      <c r="D60" s="390"/>
      <c r="K60" s="365">
        <f t="shared" si="75"/>
        <v>1</v>
      </c>
    </row>
    <row r="61" spans="1:11" x14ac:dyDescent="0.25">
      <c r="A61" s="389">
        <f>IF(D61=0,0,A60+1)</f>
        <v>11</v>
      </c>
      <c r="B61" s="390" t="str">
        <f>CONCATENATE("2015 г. (",CHOOSE(VLOOKUP(F$11,таблица,63,0),"Январь","Февраль","Март","Апрель","Май","Июнь","Июль","Август","Сентябрь","Октябрь","Ноябрь","Декабрь")," - ",CHOOSE(VLOOKUP(F$11,таблица,64,0),"Январь","Февраль","Март","Апрель","Май","Июнь","Июль","Август","Сентябрь","Октябрь","Ноябрь","Декабрь"),")")</f>
        <v>2015 г. (Сентябрь - Сентябрь)</v>
      </c>
      <c r="C61" s="389" t="s">
        <v>222</v>
      </c>
      <c r="D61" s="417">
        <f>IF(D63=0,0,VLOOKUP($F$11,таблица,69,0)*100+100)</f>
        <v>108.81</v>
      </c>
      <c r="K61" s="365">
        <f>IF(D61=0,"",1)</f>
        <v>1</v>
      </c>
    </row>
    <row r="62" spans="1:11" hidden="1" x14ac:dyDescent="0.25">
      <c r="A62" s="389">
        <f>IF(D62=0,0,IF(D61=0,A60+1,A61+1))</f>
        <v>0</v>
      </c>
      <c r="B62" s="390" t="str">
        <f>CONCATENATE("2016 г. (",CHOOSE(VLOOKUP(F$11,таблица,65,0),"Январь","Февраль","Март","Апрель","Май","Июнь","Июль","Август","Сентябрь","Октябрь","Ноябрь","Декабрь")," - ",CHOOSE(VLOOKUP(F$11,таблица,66,0),"Январь","Февраль","Март","Апрель","Май","Июнь","Июль","Август","Сентябрь","Октябрь","Ноябрь","Декабрь"),")")</f>
        <v>2016 г. (Январь - Декабрь)</v>
      </c>
      <c r="C62" s="389" t="s">
        <v>222</v>
      </c>
      <c r="D62" s="417">
        <f>IF(D64=0,0,VLOOKUP($F$11,таблица,70,0)*100+100)</f>
        <v>0</v>
      </c>
      <c r="K62" s="365" t="str">
        <f t="shared" ref="K62:K64" si="76">IF(D62=0,"",1)</f>
        <v/>
      </c>
    </row>
    <row r="63" spans="1:11" x14ac:dyDescent="0.25">
      <c r="A63" s="389">
        <f>IF(D63=0,0,IF(D62=0,A61+1,A62+1))</f>
        <v>12</v>
      </c>
      <c r="B63" s="390" t="s">
        <v>223</v>
      </c>
      <c r="C63" s="389" t="s">
        <v>224</v>
      </c>
      <c r="D63" s="394">
        <f>VLOOKUP($F$11,таблица,46,0)</f>
        <v>32308</v>
      </c>
      <c r="K63" s="365">
        <f t="shared" si="76"/>
        <v>1</v>
      </c>
    </row>
    <row r="64" spans="1:11" hidden="1" x14ac:dyDescent="0.25">
      <c r="A64" s="389">
        <f>IF(D64=0,0,IF(D63=0,A62+1,A63+1))</f>
        <v>0</v>
      </c>
      <c r="B64" s="390" t="s">
        <v>351</v>
      </c>
      <c r="C64" s="389" t="s">
        <v>224</v>
      </c>
      <c r="D64" s="394">
        <f>VLOOKUP($F$11,таблица,56,0)</f>
        <v>0</v>
      </c>
      <c r="K64" s="365" t="str">
        <f t="shared" si="76"/>
        <v/>
      </c>
    </row>
    <row r="65" spans="1:11" x14ac:dyDescent="0.25">
      <c r="A65" s="464" t="s">
        <v>225</v>
      </c>
      <c r="B65" s="464"/>
      <c r="C65" s="464"/>
      <c r="D65" s="464"/>
      <c r="K65" s="365">
        <f>IF($F$11=0,"",1)</f>
        <v>1</v>
      </c>
    </row>
    <row r="66" spans="1:11" ht="31.5" x14ac:dyDescent="0.25">
      <c r="A66" s="389">
        <f>IF(D66=0,0,IF(D64=0,IF(D63=0,A60+1,A63+1),A64+1))</f>
        <v>13</v>
      </c>
      <c r="B66" s="395" t="s">
        <v>275</v>
      </c>
      <c r="C66" s="389" t="s">
        <v>224</v>
      </c>
      <c r="D66" s="394">
        <f>SUM(VLOOKUP($F$11,таблица,41,0),D63)</f>
        <v>399028</v>
      </c>
      <c r="E66" s="365"/>
      <c r="K66" s="365">
        <f t="shared" ref="K66:K72" si="77">IF(D66=0,"",1)</f>
        <v>1</v>
      </c>
    </row>
    <row r="67" spans="1:11" x14ac:dyDescent="0.25">
      <c r="A67" s="389">
        <f>IF(D67=0,0,A66+1)</f>
        <v>14</v>
      </c>
      <c r="B67" s="395" t="s">
        <v>227</v>
      </c>
      <c r="C67" s="389" t="s">
        <v>224</v>
      </c>
      <c r="D67" s="394">
        <f>VLOOKUP($F$11,таблица,51,0)</f>
        <v>71825</v>
      </c>
      <c r="E67" s="365"/>
      <c r="K67" s="365">
        <f t="shared" si="77"/>
        <v>1</v>
      </c>
    </row>
    <row r="68" spans="1:11" x14ac:dyDescent="0.25">
      <c r="A68" s="389">
        <f>IF(D68=0,0,A67+1)</f>
        <v>15</v>
      </c>
      <c r="B68" s="395" t="s">
        <v>274</v>
      </c>
      <c r="C68" s="389" t="s">
        <v>224</v>
      </c>
      <c r="D68" s="397">
        <f>SUM(D66:D67)</f>
        <v>470853</v>
      </c>
      <c r="E68" s="391">
        <f>VLOOKUP($F$11,таблица,71,0)</f>
        <v>470853</v>
      </c>
      <c r="K68" s="365">
        <f t="shared" si="77"/>
        <v>1</v>
      </c>
    </row>
    <row r="69" spans="1:11" ht="31.5" hidden="1" x14ac:dyDescent="0.25">
      <c r="A69" s="389">
        <f>IF(D69=0,0,IF(D68=0,IF(D64=0,A60+1,A64+1),A68+1))</f>
        <v>0</v>
      </c>
      <c r="B69" s="395" t="s">
        <v>349</v>
      </c>
      <c r="C69" s="389" t="s">
        <v>224</v>
      </c>
      <c r="D69" s="394">
        <f>VLOOKUP($F$11,таблица,36,0)-VLOOKUP($F$11,таблица,41,0)+D64</f>
        <v>0</v>
      </c>
      <c r="K69" s="365" t="str">
        <f t="shared" si="77"/>
        <v/>
      </c>
    </row>
    <row r="70" spans="1:11" hidden="1" x14ac:dyDescent="0.25">
      <c r="A70" s="389">
        <f>IF(D70=0,0,A69+1)</f>
        <v>0</v>
      </c>
      <c r="B70" s="395" t="s">
        <v>227</v>
      </c>
      <c r="C70" s="389" t="s">
        <v>224</v>
      </c>
      <c r="D70" s="394">
        <f>VLOOKUP($F$11,таблица,61,0)</f>
        <v>0</v>
      </c>
      <c r="K70" s="365" t="str">
        <f t="shared" si="77"/>
        <v/>
      </c>
    </row>
    <row r="71" spans="1:11" hidden="1" x14ac:dyDescent="0.25">
      <c r="A71" s="389">
        <f>IF(D71=0,0,A70+1)</f>
        <v>0</v>
      </c>
      <c r="B71" s="395" t="s">
        <v>350</v>
      </c>
      <c r="C71" s="389" t="s">
        <v>224</v>
      </c>
      <c r="D71" s="397">
        <f>SUM(D69:D70)</f>
        <v>0</v>
      </c>
      <c r="E71" s="391">
        <f>VLOOKUP($F$11,таблица,72,0)</f>
        <v>0</v>
      </c>
      <c r="K71" s="365" t="str">
        <f t="shared" si="77"/>
        <v/>
      </c>
    </row>
    <row r="72" spans="1:11" hidden="1" x14ac:dyDescent="0.25">
      <c r="A72" s="389">
        <f>IF(D72=0,0,A71+1)</f>
        <v>0</v>
      </c>
      <c r="B72" s="395" t="s">
        <v>226</v>
      </c>
      <c r="C72" s="389" t="s">
        <v>224</v>
      </c>
      <c r="D72" s="397">
        <f>IF(OR(D68=0,D71=0),0,D71+D68)</f>
        <v>0</v>
      </c>
      <c r="E72" s="391">
        <f>VLOOKUP($F$11,таблица,62,0)</f>
        <v>470853</v>
      </c>
      <c r="K72" s="365" t="str">
        <f t="shared" si="77"/>
        <v/>
      </c>
    </row>
    <row r="73" spans="1:11" x14ac:dyDescent="0.25">
      <c r="A73" s="400"/>
      <c r="B73" s="400"/>
      <c r="C73" s="400"/>
      <c r="D73" s="401"/>
      <c r="K73" s="365">
        <f>IF($F$11=0,"",1)</f>
        <v>1</v>
      </c>
    </row>
    <row r="74" spans="1:11" ht="47.25" customHeight="1" x14ac:dyDescent="0.25">
      <c r="A74" s="465" t="str">
        <f>'Анализ стоимости'!$I$58</f>
        <v>Начальник финансового отдела</v>
      </c>
      <c r="B74" s="466"/>
      <c r="C74" s="402"/>
      <c r="D74" s="403" t="str">
        <f>'Анализ стоимости'!$I$59</f>
        <v>А.Ю.Кашуба</v>
      </c>
      <c r="H74" s="405" t="str">
        <f>A74</f>
        <v>Начальник финансового отдела</v>
      </c>
      <c r="K74" s="365">
        <f>IF($F$11=0,"",1)</f>
        <v>1</v>
      </c>
    </row>
    <row r="75" spans="1:11" x14ac:dyDescent="0.25">
      <c r="A75" s="407"/>
      <c r="B75" s="407"/>
      <c r="C75" s="407"/>
      <c r="D75" s="408"/>
      <c r="K75" s="365">
        <f>IF($F$11=0,"",1)</f>
        <v>1</v>
      </c>
    </row>
    <row r="76" spans="1:11" x14ac:dyDescent="0.25">
      <c r="A76" s="462">
        <f ca="1">TODAY()</f>
        <v>42101</v>
      </c>
      <c r="B76" s="462"/>
      <c r="C76" s="371"/>
      <c r="D76" s="371"/>
      <c r="K76" s="365">
        <f>IF($F$11=0,"",1)</f>
        <v>1</v>
      </c>
    </row>
    <row r="77" spans="1:11" x14ac:dyDescent="0.25">
      <c r="A77" s="463" t="s">
        <v>244</v>
      </c>
      <c r="B77" s="463"/>
      <c r="C77" s="463"/>
      <c r="D77" s="463"/>
      <c r="H77" s="369"/>
      <c r="I77" s="369"/>
      <c r="K77" s="365">
        <f t="shared" ref="K77:K94" si="78">IF($F$12=0,"",1)</f>
        <v>1</v>
      </c>
    </row>
    <row r="78" spans="1:11" ht="47.25" customHeight="1" x14ac:dyDescent="0.2">
      <c r="A78" s="458" t="str">
        <f>CONCATENATE("Наименование объекта: ",VLOOKUP($F$12,таблица,9,0))</f>
        <v>Наименование объекта: Ремонт ул.Набережной от ПК0+00 (дом №30Б) до ПК2+90 в х.Красноармейский Городок</v>
      </c>
      <c r="B78" s="458"/>
      <c r="C78" s="458"/>
      <c r="D78" s="458"/>
      <c r="J78" s="414" t="str">
        <f>A78</f>
        <v>Наименование объекта: Ремонт ул.Набережной от ПК0+00 (дом №30Б) до ПК2+90 в х.Красноармейский Городок</v>
      </c>
      <c r="K78" s="365">
        <f t="shared" si="78"/>
        <v>1</v>
      </c>
    </row>
    <row r="79" spans="1:11" x14ac:dyDescent="0.25">
      <c r="A79" s="383"/>
      <c r="B79" s="372"/>
      <c r="C79" s="372"/>
      <c r="D79" s="372"/>
      <c r="K79" s="365">
        <f t="shared" si="78"/>
        <v>1</v>
      </c>
    </row>
    <row r="80" spans="1:11" x14ac:dyDescent="0.25">
      <c r="A80" s="415" t="s">
        <v>218</v>
      </c>
      <c r="B80" s="378"/>
      <c r="C80" s="378"/>
      <c r="D80" s="378"/>
      <c r="K80" s="365">
        <f t="shared" si="78"/>
        <v>1</v>
      </c>
    </row>
    <row r="81" spans="1:11" x14ac:dyDescent="0.25">
      <c r="A81" s="459" t="s">
        <v>219</v>
      </c>
      <c r="B81" s="459"/>
      <c r="C81" s="459"/>
      <c r="D81" s="459"/>
      <c r="K81" s="365">
        <f t="shared" si="78"/>
        <v>1</v>
      </c>
    </row>
    <row r="82" spans="1:11" ht="47.25" x14ac:dyDescent="0.25">
      <c r="A82" s="385" t="s">
        <v>111</v>
      </c>
      <c r="B82" s="385" t="s">
        <v>167</v>
      </c>
      <c r="C82" s="460" t="str">
        <f>CONCATENATE("Стоимость  согласно сметной документации (руб.) в текущих ценах по состоянию на ",VLOOKUP($F$12,таблица,5,0)," г.")</f>
        <v>Стоимость  согласно сметной документации (руб.) в текущих ценах по состоянию на 01.08.2014 г.</v>
      </c>
      <c r="D82" s="461"/>
      <c r="I82" s="386" t="str">
        <f>C82</f>
        <v>Стоимость  согласно сметной документации (руб.) в текущих ценах по состоянию на 01.08.2014 г.</v>
      </c>
      <c r="K82" s="365">
        <f t="shared" si="78"/>
        <v>1</v>
      </c>
    </row>
    <row r="83" spans="1:11" x14ac:dyDescent="0.25">
      <c r="A83" s="389">
        <v>1</v>
      </c>
      <c r="B83" s="390" t="s">
        <v>68</v>
      </c>
      <c r="C83" s="455">
        <f>VLOOKUP($F$12,таблица,10,0)</f>
        <v>34005</v>
      </c>
      <c r="D83" s="456"/>
      <c r="K83" s="365">
        <f t="shared" si="78"/>
        <v>1</v>
      </c>
    </row>
    <row r="84" spans="1:11" x14ac:dyDescent="0.25">
      <c r="A84" s="389">
        <v>2</v>
      </c>
      <c r="B84" s="390" t="s">
        <v>58</v>
      </c>
      <c r="C84" s="455">
        <f>VLOOKUP($F$12,таблица,11,0)</f>
        <v>44311</v>
      </c>
      <c r="D84" s="456"/>
      <c r="K84" s="365">
        <f t="shared" si="78"/>
        <v>1</v>
      </c>
    </row>
    <row r="85" spans="1:11" ht="31.5" x14ac:dyDescent="0.25">
      <c r="A85" s="389">
        <v>3</v>
      </c>
      <c r="B85" s="390" t="s">
        <v>8</v>
      </c>
      <c r="C85" s="455">
        <f>VLOOKUP($F$12,таблица,12,0)</f>
        <v>810148</v>
      </c>
      <c r="D85" s="456"/>
      <c r="K85" s="365">
        <f t="shared" si="78"/>
        <v>1</v>
      </c>
    </row>
    <row r="86" spans="1:11" x14ac:dyDescent="0.25">
      <c r="A86" s="389">
        <v>4</v>
      </c>
      <c r="B86" s="390" t="s">
        <v>59</v>
      </c>
      <c r="C86" s="455">
        <f>VLOOKUP($F$12,таблица,13,0)</f>
        <v>39544</v>
      </c>
      <c r="D86" s="456"/>
      <c r="K86" s="365">
        <f t="shared" si="78"/>
        <v>1</v>
      </c>
    </row>
    <row r="87" spans="1:11" x14ac:dyDescent="0.25">
      <c r="A87" s="389">
        <v>5</v>
      </c>
      <c r="B87" s="390" t="s">
        <v>14</v>
      </c>
      <c r="C87" s="455">
        <f>VLOOKUP($F$12,таблица,14,0)</f>
        <v>21077</v>
      </c>
      <c r="D87" s="456"/>
      <c r="K87" s="365">
        <f t="shared" si="78"/>
        <v>1</v>
      </c>
    </row>
    <row r="88" spans="1:11" x14ac:dyDescent="0.25">
      <c r="A88" s="389">
        <v>6</v>
      </c>
      <c r="B88" s="390" t="s">
        <v>23</v>
      </c>
      <c r="C88" s="455">
        <f>VLOOKUP($F$12,таблица,18,0)</f>
        <v>0</v>
      </c>
      <c r="D88" s="456"/>
      <c r="K88" s="365">
        <f t="shared" si="78"/>
        <v>1</v>
      </c>
    </row>
    <row r="89" spans="1:11" x14ac:dyDescent="0.25">
      <c r="A89" s="389">
        <v>7</v>
      </c>
      <c r="B89" s="390" t="s">
        <v>156</v>
      </c>
      <c r="C89" s="455">
        <f>VLOOKUP($F$12,таблица,19,0)+VLOOKUP($F$12,таблица,21,0)+VLOOKUP($F$12,таблица,22,0)+VLOOKUP($F$12,таблица,23,0)+VLOOKUP($F$12,таблица,24,0)+VLOOKUP($F$12,таблица,25,0)+VLOOKUP($F$12,таблица,26,0)</f>
        <v>9491</v>
      </c>
      <c r="D89" s="456"/>
      <c r="K89" s="365">
        <f t="shared" si="78"/>
        <v>1</v>
      </c>
    </row>
    <row r="90" spans="1:11" x14ac:dyDescent="0.25">
      <c r="A90" s="389">
        <v>8</v>
      </c>
      <c r="B90" s="390" t="s">
        <v>101</v>
      </c>
      <c r="C90" s="455">
        <f>VLOOKUP($F$12,таблица,31,0)</f>
        <v>0</v>
      </c>
      <c r="D90" s="456"/>
      <c r="K90" s="365">
        <f t="shared" si="78"/>
        <v>1</v>
      </c>
    </row>
    <row r="91" spans="1:11" x14ac:dyDescent="0.25">
      <c r="A91" s="389">
        <v>9</v>
      </c>
      <c r="B91" s="390" t="s">
        <v>241</v>
      </c>
      <c r="C91" s="455">
        <f>SUM(C83:D90)</f>
        <v>958576</v>
      </c>
      <c r="D91" s="456"/>
      <c r="K91" s="365">
        <f t="shared" si="78"/>
        <v>1</v>
      </c>
    </row>
    <row r="92" spans="1:11" x14ac:dyDescent="0.25">
      <c r="A92" s="464" t="s">
        <v>231</v>
      </c>
      <c r="B92" s="464"/>
      <c r="C92" s="464"/>
      <c r="D92" s="464"/>
      <c r="K92" s="365">
        <f t="shared" si="78"/>
        <v>1</v>
      </c>
    </row>
    <row r="93" spans="1:11" ht="31.5" x14ac:dyDescent="0.25">
      <c r="A93" s="392" t="s">
        <v>111</v>
      </c>
      <c r="B93" s="385" t="s">
        <v>36</v>
      </c>
      <c r="C93" s="385" t="s">
        <v>221</v>
      </c>
      <c r="D93" s="385" t="s">
        <v>168</v>
      </c>
      <c r="K93" s="365">
        <f t="shared" si="78"/>
        <v>1</v>
      </c>
    </row>
    <row r="94" spans="1:11" ht="31.5" x14ac:dyDescent="0.25">
      <c r="A94" s="389">
        <v>10</v>
      </c>
      <c r="B94" s="389" t="str">
        <f>VLOOKUP((VLOOKUP($F$12,таблица,8,0)),рем_содер,2,0)</f>
        <v>Индексы-дефляторы Минэкономразвития РФ, применяемые к сметной стоимости</v>
      </c>
      <c r="C94" s="389"/>
      <c r="D94" s="390"/>
      <c r="K94" s="365">
        <f t="shared" si="78"/>
        <v>1</v>
      </c>
    </row>
    <row r="95" spans="1:11" x14ac:dyDescent="0.25">
      <c r="A95" s="389">
        <f>IF(D95=0,0,A94+1)</f>
        <v>11</v>
      </c>
      <c r="B95" s="390" t="str">
        <f>CONCATENATE("2015 г. (",CHOOSE(VLOOKUP(F$12,таблица,63,0),"Январь","Февраль","Март","Апрель","Май","Июнь","Июль","Август","Сентябрь","Октябрь","Ноябрь","Декабрь")," - ",CHOOSE(VLOOKUP(F$12,таблица,64,0),"Январь","Февраль","Март","Апрель","Май","Июнь","Июль","Август","Сентябрь","Октябрь","Ноябрь","Декабрь"),")")</f>
        <v>2015 г. (Сентябрь - Сентябрь)</v>
      </c>
      <c r="C95" s="389" t="s">
        <v>222</v>
      </c>
      <c r="D95" s="417">
        <f>IF(D97=0,0,VLOOKUP($F$12,таблица,69,0)*100+100)</f>
        <v>108.81</v>
      </c>
      <c r="K95" s="365">
        <f>IF(D95=0,"",1)</f>
        <v>1</v>
      </c>
    </row>
    <row r="96" spans="1:11" hidden="1" x14ac:dyDescent="0.25">
      <c r="A96" s="389">
        <f>IF(D96=0,0,IF(D95=0,A94+1,A95+1))</f>
        <v>0</v>
      </c>
      <c r="B96" s="390" t="str">
        <f>CONCATENATE("2016 г. (",CHOOSE(VLOOKUP(F$12,таблица,65,0),"Январь","Февраль","Март","Апрель","Май","Июнь","Июль","Август","Сентябрь","Октябрь","Ноябрь","Декабрь")," - ",CHOOSE(VLOOKUP(F$12,таблица,66,0),"Январь","Февраль","Март","Апрель","Май","Июнь","Июль","Август","Сентябрь","Октябрь","Ноябрь","Декабрь"),")")</f>
        <v>2016 г. (Январь - Декабрь)</v>
      </c>
      <c r="C96" s="389" t="s">
        <v>222</v>
      </c>
      <c r="D96" s="417">
        <f>IF(D98=0,0,VLOOKUP($F$12,таблица,70,0)*100+100)</f>
        <v>0</v>
      </c>
      <c r="K96" s="365" t="str">
        <f t="shared" ref="K96:K98" si="79">IF(D96=0,"",1)</f>
        <v/>
      </c>
    </row>
    <row r="97" spans="1:11" x14ac:dyDescent="0.25">
      <c r="A97" s="389">
        <f>IF(D97=0,0,IF(D96=0,A95+1,A96+1))</f>
        <v>12</v>
      </c>
      <c r="B97" s="390" t="s">
        <v>223</v>
      </c>
      <c r="C97" s="389" t="s">
        <v>224</v>
      </c>
      <c r="D97" s="394">
        <f>VLOOKUP($F$12,таблица,46,0)</f>
        <v>84450</v>
      </c>
      <c r="K97" s="365">
        <f t="shared" si="79"/>
        <v>1</v>
      </c>
    </row>
    <row r="98" spans="1:11" hidden="1" x14ac:dyDescent="0.25">
      <c r="A98" s="389">
        <f>IF(D98=0,0,IF(D97=0,A96+1,A97+1))</f>
        <v>0</v>
      </c>
      <c r="B98" s="390" t="s">
        <v>351</v>
      </c>
      <c r="C98" s="389" t="s">
        <v>224</v>
      </c>
      <c r="D98" s="394">
        <f>VLOOKUP($F$12,таблица,56,0)</f>
        <v>0</v>
      </c>
      <c r="K98" s="365" t="str">
        <f t="shared" si="79"/>
        <v/>
      </c>
    </row>
    <row r="99" spans="1:11" x14ac:dyDescent="0.25">
      <c r="A99" s="464" t="s">
        <v>225</v>
      </c>
      <c r="B99" s="464"/>
      <c r="C99" s="464"/>
      <c r="D99" s="464"/>
      <c r="K99" s="365">
        <f>IF($F$12=0,"",1)</f>
        <v>1</v>
      </c>
    </row>
    <row r="100" spans="1:11" ht="31.5" x14ac:dyDescent="0.25">
      <c r="A100" s="389">
        <f>IF(D100=0,0,IF(D98=0,IF(D97=0,A94+1,A97+1),A98+1))</f>
        <v>13</v>
      </c>
      <c r="B100" s="395" t="s">
        <v>275</v>
      </c>
      <c r="C100" s="389" t="s">
        <v>224</v>
      </c>
      <c r="D100" s="394">
        <f>SUM(VLOOKUP($F$12,таблица,41,0),D97)</f>
        <v>1043026</v>
      </c>
      <c r="E100" s="365"/>
      <c r="K100" s="365">
        <f t="shared" ref="K100:K106" si="80">IF(D100=0,"",1)</f>
        <v>1</v>
      </c>
    </row>
    <row r="101" spans="1:11" x14ac:dyDescent="0.25">
      <c r="A101" s="389">
        <f>IF(D101=0,0,A100+1)</f>
        <v>14</v>
      </c>
      <c r="B101" s="395" t="s">
        <v>227</v>
      </c>
      <c r="C101" s="389" t="s">
        <v>224</v>
      </c>
      <c r="D101" s="394">
        <f>VLOOKUP($F$12,таблица,51,0)</f>
        <v>187745</v>
      </c>
      <c r="E101" s="365"/>
      <c r="K101" s="365">
        <f t="shared" si="80"/>
        <v>1</v>
      </c>
    </row>
    <row r="102" spans="1:11" x14ac:dyDescent="0.25">
      <c r="A102" s="389">
        <f>IF(D102=0,0,A101+1)</f>
        <v>15</v>
      </c>
      <c r="B102" s="395" t="s">
        <v>274</v>
      </c>
      <c r="C102" s="389" t="s">
        <v>224</v>
      </c>
      <c r="D102" s="397">
        <f>SUM(D100:D101)</f>
        <v>1230771</v>
      </c>
      <c r="E102" s="391">
        <f>VLOOKUP($F$12,таблица,71,0)</f>
        <v>1230771</v>
      </c>
      <c r="K102" s="365">
        <f t="shared" si="80"/>
        <v>1</v>
      </c>
    </row>
    <row r="103" spans="1:11" ht="31.5" hidden="1" x14ac:dyDescent="0.25">
      <c r="A103" s="389">
        <f>IF(D103=0,0,IF(D102=0,IF(D98=0,A94+1,A98+1),A102+1))</f>
        <v>0</v>
      </c>
      <c r="B103" s="395" t="s">
        <v>349</v>
      </c>
      <c r="C103" s="389" t="s">
        <v>224</v>
      </c>
      <c r="D103" s="394">
        <f>VLOOKUP($F$12,таблица,36,0)-VLOOKUP($F$12,таблица,41,0)+D98</f>
        <v>0</v>
      </c>
      <c r="K103" s="365" t="str">
        <f t="shared" si="80"/>
        <v/>
      </c>
    </row>
    <row r="104" spans="1:11" hidden="1" x14ac:dyDescent="0.25">
      <c r="A104" s="389">
        <f>IF(D104=0,0,A103+1)</f>
        <v>0</v>
      </c>
      <c r="B104" s="395" t="s">
        <v>227</v>
      </c>
      <c r="C104" s="389" t="s">
        <v>224</v>
      </c>
      <c r="D104" s="394">
        <f>VLOOKUP($F$12,таблица,61,0)</f>
        <v>0</v>
      </c>
      <c r="K104" s="365" t="str">
        <f t="shared" si="80"/>
        <v/>
      </c>
    </row>
    <row r="105" spans="1:11" hidden="1" x14ac:dyDescent="0.25">
      <c r="A105" s="389">
        <f>IF(D105=0,0,A104+1)</f>
        <v>0</v>
      </c>
      <c r="B105" s="395" t="s">
        <v>350</v>
      </c>
      <c r="C105" s="389" t="s">
        <v>224</v>
      </c>
      <c r="D105" s="397">
        <f>SUM(D103:D104)</f>
        <v>0</v>
      </c>
      <c r="E105" s="391">
        <f>VLOOKUP($F$12,таблица,72,0)</f>
        <v>0</v>
      </c>
      <c r="K105" s="365" t="str">
        <f t="shared" si="80"/>
        <v/>
      </c>
    </row>
    <row r="106" spans="1:11" hidden="1" x14ac:dyDescent="0.25">
      <c r="A106" s="389">
        <f>IF(D106=0,0,A105+1)</f>
        <v>0</v>
      </c>
      <c r="B106" s="395" t="s">
        <v>226</v>
      </c>
      <c r="C106" s="389" t="s">
        <v>224</v>
      </c>
      <c r="D106" s="397">
        <f>IF(OR(D102=0,D105=0),0,D105+D102)</f>
        <v>0</v>
      </c>
      <c r="E106" s="391">
        <f>VLOOKUP($F$12,таблица,62,0)</f>
        <v>1230771</v>
      </c>
      <c r="K106" s="365" t="str">
        <f t="shared" si="80"/>
        <v/>
      </c>
    </row>
    <row r="107" spans="1:11" x14ac:dyDescent="0.25">
      <c r="A107" s="400"/>
      <c r="B107" s="400"/>
      <c r="C107" s="400"/>
      <c r="D107" s="401"/>
      <c r="K107" s="365">
        <f>IF($F$12=0,"",1)</f>
        <v>1</v>
      </c>
    </row>
    <row r="108" spans="1:11" ht="47.25" customHeight="1" x14ac:dyDescent="0.25">
      <c r="A108" s="465" t="str">
        <f>'Анализ стоимости'!$I$58</f>
        <v>Начальник финансового отдела</v>
      </c>
      <c r="B108" s="466"/>
      <c r="C108" s="402"/>
      <c r="D108" s="403" t="str">
        <f>'Анализ стоимости'!$I$59</f>
        <v>А.Ю.Кашуба</v>
      </c>
      <c r="H108" s="405" t="str">
        <f>A108</f>
        <v>Начальник финансового отдела</v>
      </c>
      <c r="K108" s="365">
        <f>IF($F$12=0,"",1)</f>
        <v>1</v>
      </c>
    </row>
    <row r="109" spans="1:11" x14ac:dyDescent="0.25">
      <c r="A109" s="407"/>
      <c r="B109" s="407"/>
      <c r="C109" s="407"/>
      <c r="D109" s="408"/>
      <c r="K109" s="365">
        <f>IF($F$12=0,"",1)</f>
        <v>1</v>
      </c>
    </row>
    <row r="110" spans="1:11" x14ac:dyDescent="0.25">
      <c r="A110" s="462">
        <f ca="1">TODAY()</f>
        <v>42101</v>
      </c>
      <c r="B110" s="462"/>
      <c r="C110" s="371"/>
      <c r="D110" s="371"/>
      <c r="K110" s="365">
        <f>IF($F$12=0,"",1)</f>
        <v>1</v>
      </c>
    </row>
    <row r="111" spans="1:11" x14ac:dyDescent="0.25">
      <c r="A111" s="463" t="s">
        <v>245</v>
      </c>
      <c r="B111" s="463"/>
      <c r="C111" s="463"/>
      <c r="D111" s="463"/>
      <c r="H111" s="369"/>
      <c r="I111" s="369"/>
      <c r="K111" s="365">
        <f t="shared" ref="K111:K128" si="81">IF($F$13=0,"",1)</f>
        <v>1</v>
      </c>
    </row>
    <row r="112" spans="1:11" ht="47.25" customHeight="1" x14ac:dyDescent="0.2">
      <c r="A112" s="458" t="str">
        <f>CONCATENATE("Наименование объекта: ",VLOOKUP($F$13,таблица,9,0))</f>
        <v>Наименование объекта: Ремонт ул.Северной от ПК0+00 (дом №34А) до ПК2+50 в х.Беликов</v>
      </c>
      <c r="B112" s="458"/>
      <c r="C112" s="458"/>
      <c r="D112" s="458"/>
      <c r="J112" s="414" t="str">
        <f>A112</f>
        <v>Наименование объекта: Ремонт ул.Северной от ПК0+00 (дом №34А) до ПК2+50 в х.Беликов</v>
      </c>
      <c r="K112" s="365">
        <f t="shared" si="81"/>
        <v>1</v>
      </c>
    </row>
    <row r="113" spans="1:11" x14ac:dyDescent="0.25">
      <c r="A113" s="383"/>
      <c r="B113" s="372"/>
      <c r="C113" s="372"/>
      <c r="D113" s="372"/>
      <c r="K113" s="365">
        <f t="shared" si="81"/>
        <v>1</v>
      </c>
    </row>
    <row r="114" spans="1:11" x14ac:dyDescent="0.25">
      <c r="A114" s="415" t="s">
        <v>218</v>
      </c>
      <c r="B114" s="378"/>
      <c r="C114" s="378"/>
      <c r="D114" s="378"/>
      <c r="K114" s="365">
        <f t="shared" si="81"/>
        <v>1</v>
      </c>
    </row>
    <row r="115" spans="1:11" x14ac:dyDescent="0.25">
      <c r="A115" s="459" t="s">
        <v>219</v>
      </c>
      <c r="B115" s="459"/>
      <c r="C115" s="459"/>
      <c r="D115" s="459"/>
      <c r="K115" s="365">
        <f t="shared" si="81"/>
        <v>1</v>
      </c>
    </row>
    <row r="116" spans="1:11" ht="47.25" x14ac:dyDescent="0.25">
      <c r="A116" s="385" t="s">
        <v>111</v>
      </c>
      <c r="B116" s="385" t="s">
        <v>167</v>
      </c>
      <c r="C116" s="460" t="str">
        <f>CONCATENATE("Стоимость  согласно сметной документации (руб.) в текущих ценах по состоянию на ",VLOOKUP($F$13,таблица,5,0)," г.")</f>
        <v>Стоимость  согласно сметной документации (руб.) в текущих ценах по состоянию на 01.08.2014 г.</v>
      </c>
      <c r="D116" s="461"/>
      <c r="I116" s="386" t="str">
        <f>C116</f>
        <v>Стоимость  согласно сметной документации (руб.) в текущих ценах по состоянию на 01.08.2014 г.</v>
      </c>
      <c r="K116" s="365">
        <f t="shared" si="81"/>
        <v>1</v>
      </c>
    </row>
    <row r="117" spans="1:11" x14ac:dyDescent="0.25">
      <c r="A117" s="389">
        <v>1</v>
      </c>
      <c r="B117" s="390" t="s">
        <v>68</v>
      </c>
      <c r="C117" s="455">
        <f>VLOOKUP($F$13,таблица,10,0)</f>
        <v>16243</v>
      </c>
      <c r="D117" s="456"/>
      <c r="K117" s="365">
        <f t="shared" si="81"/>
        <v>1</v>
      </c>
    </row>
    <row r="118" spans="1:11" x14ac:dyDescent="0.25">
      <c r="A118" s="389">
        <v>2</v>
      </c>
      <c r="B118" s="390" t="s">
        <v>58</v>
      </c>
      <c r="C118" s="455">
        <f>VLOOKUP($F$13,таблица,11,0)</f>
        <v>23820</v>
      </c>
      <c r="D118" s="456"/>
      <c r="K118" s="365">
        <f t="shared" si="81"/>
        <v>1</v>
      </c>
    </row>
    <row r="119" spans="1:11" ht="31.5" x14ac:dyDescent="0.25">
      <c r="A119" s="389">
        <v>3</v>
      </c>
      <c r="B119" s="390" t="s">
        <v>8</v>
      </c>
      <c r="C119" s="455">
        <f>VLOOKUP($F$13,таблица,12,0)</f>
        <v>246205</v>
      </c>
      <c r="D119" s="456"/>
      <c r="K119" s="365">
        <f t="shared" si="81"/>
        <v>1</v>
      </c>
    </row>
    <row r="120" spans="1:11" x14ac:dyDescent="0.25">
      <c r="A120" s="389">
        <v>4</v>
      </c>
      <c r="B120" s="390" t="s">
        <v>59</v>
      </c>
      <c r="C120" s="455">
        <f>VLOOKUP($F$13,таблица,13,0)</f>
        <v>19654</v>
      </c>
      <c r="D120" s="456"/>
      <c r="K120" s="365">
        <f t="shared" si="81"/>
        <v>1</v>
      </c>
    </row>
    <row r="121" spans="1:11" x14ac:dyDescent="0.25">
      <c r="A121" s="389">
        <v>5</v>
      </c>
      <c r="B121" s="390" t="s">
        <v>14</v>
      </c>
      <c r="C121" s="455">
        <f>VLOOKUP($F$13,таблица,14,0)</f>
        <v>10558</v>
      </c>
      <c r="D121" s="456"/>
      <c r="K121" s="365">
        <f t="shared" si="81"/>
        <v>1</v>
      </c>
    </row>
    <row r="122" spans="1:11" x14ac:dyDescent="0.25">
      <c r="A122" s="389">
        <v>6</v>
      </c>
      <c r="B122" s="390" t="s">
        <v>23</v>
      </c>
      <c r="C122" s="455">
        <f>VLOOKUP($F$13,таблица,18,0)</f>
        <v>0</v>
      </c>
      <c r="D122" s="456"/>
      <c r="K122" s="365">
        <f t="shared" si="81"/>
        <v>1</v>
      </c>
    </row>
    <row r="123" spans="1:11" x14ac:dyDescent="0.25">
      <c r="A123" s="389">
        <v>7</v>
      </c>
      <c r="B123" s="390" t="s">
        <v>156</v>
      </c>
      <c r="C123" s="455">
        <f>VLOOKUP($F$13,таблица,19,0)+VLOOKUP($F$13,таблица,21,0)+VLOOKUP($F$13,таблица,22,0)+VLOOKUP($F$13,таблица,23,0)+VLOOKUP($F$13,таблица,24,0)+VLOOKUP($F$13,таблица,25,0)+VLOOKUP($F$13,таблица,26,0)</f>
        <v>3165</v>
      </c>
      <c r="D123" s="456"/>
      <c r="K123" s="365">
        <f t="shared" si="81"/>
        <v>1</v>
      </c>
    </row>
    <row r="124" spans="1:11" x14ac:dyDescent="0.25">
      <c r="A124" s="389">
        <v>8</v>
      </c>
      <c r="B124" s="390" t="s">
        <v>101</v>
      </c>
      <c r="C124" s="455">
        <f>VLOOKUP($F$13,таблица,31,0)</f>
        <v>0</v>
      </c>
      <c r="D124" s="456"/>
      <c r="K124" s="365">
        <f t="shared" si="81"/>
        <v>1</v>
      </c>
    </row>
    <row r="125" spans="1:11" x14ac:dyDescent="0.25">
      <c r="A125" s="389">
        <v>9</v>
      </c>
      <c r="B125" s="390" t="s">
        <v>241</v>
      </c>
      <c r="C125" s="455">
        <f>SUM(C117:D124)</f>
        <v>319645</v>
      </c>
      <c r="D125" s="456"/>
      <c r="K125" s="365">
        <f t="shared" si="81"/>
        <v>1</v>
      </c>
    </row>
    <row r="126" spans="1:11" x14ac:dyDescent="0.25">
      <c r="A126" s="464" t="s">
        <v>231</v>
      </c>
      <c r="B126" s="464"/>
      <c r="C126" s="464"/>
      <c r="D126" s="464"/>
      <c r="K126" s="365">
        <f t="shared" si="81"/>
        <v>1</v>
      </c>
    </row>
    <row r="127" spans="1:11" ht="31.5" x14ac:dyDescent="0.25">
      <c r="A127" s="392" t="s">
        <v>111</v>
      </c>
      <c r="B127" s="385" t="s">
        <v>36</v>
      </c>
      <c r="C127" s="385" t="s">
        <v>221</v>
      </c>
      <c r="D127" s="385" t="s">
        <v>168</v>
      </c>
      <c r="K127" s="365">
        <f t="shared" si="81"/>
        <v>1</v>
      </c>
    </row>
    <row r="128" spans="1:11" ht="31.5" x14ac:dyDescent="0.25">
      <c r="A128" s="389">
        <v>10</v>
      </c>
      <c r="B128" s="389" t="str">
        <f>VLOOKUP((VLOOKUP($F$13,таблица,8,0)),рем_содер,2,0)</f>
        <v>Индексы-дефляторы Минэкономразвития РФ, применяемые к сметной стоимости</v>
      </c>
      <c r="C128" s="389"/>
      <c r="D128" s="390"/>
      <c r="K128" s="365">
        <f t="shared" si="81"/>
        <v>1</v>
      </c>
    </row>
    <row r="129" spans="1:11" x14ac:dyDescent="0.25">
      <c r="A129" s="389">
        <f>IF(D129=0,0,A128+1)</f>
        <v>11</v>
      </c>
      <c r="B129" s="390" t="str">
        <f>CONCATENATE("2015 г. (",CHOOSE(VLOOKUP(F$13,таблица,63,0),"Январь","Февраль","Март","Апрель","Май","Июнь","Июль","Август","Сентябрь","Октябрь","Ноябрь","Декабрь")," - ",CHOOSE(VLOOKUP(F$13,таблица,64,0),"Январь","Февраль","Март","Апрель","Май","Июнь","Июль","Август","Сентябрь","Октябрь","Ноябрь","Декабрь"),")")</f>
        <v>2015 г. (Сентябрь - Сентябрь)</v>
      </c>
      <c r="C129" s="389" t="s">
        <v>222</v>
      </c>
      <c r="D129" s="417">
        <f>IF(D131=0,0,VLOOKUP($F$13,таблица,69,0)*100+100)</f>
        <v>108.81</v>
      </c>
      <c r="K129" s="365">
        <f>IF(D129=0,"",1)</f>
        <v>1</v>
      </c>
    </row>
    <row r="130" spans="1:11" hidden="1" x14ac:dyDescent="0.25">
      <c r="A130" s="389">
        <f>IF(D130=0,0,IF(D129=0,A128+1,A129+1))</f>
        <v>0</v>
      </c>
      <c r="B130" s="390" t="str">
        <f>CONCATENATE("2016 г. (",CHOOSE(VLOOKUP(F$13,таблица,65,0),"Январь","Февраль","Март","Апрель","Май","Июнь","Июль","Август","Сентябрь","Октябрь","Ноябрь","Декабрь")," - ",CHOOSE(VLOOKUP(F$13,таблица,66,0),"Январь","Февраль","Март","Апрель","Май","Июнь","Июль","Август","Сентябрь","Октябрь","Ноябрь","Декабрь"),")")</f>
        <v>2016 г. (Январь - Декабрь)</v>
      </c>
      <c r="C130" s="389" t="s">
        <v>222</v>
      </c>
      <c r="D130" s="417">
        <f>IF(D132=0,0,VLOOKUP($F$13,таблица,70,0)*100+100)</f>
        <v>0</v>
      </c>
      <c r="K130" s="365" t="str">
        <f t="shared" ref="K130:K132" si="82">IF(D130=0,"",1)</f>
        <v/>
      </c>
    </row>
    <row r="131" spans="1:11" x14ac:dyDescent="0.25">
      <c r="A131" s="389">
        <f>IF(D131=0,0,IF(D130=0,A129+1,A130+1))</f>
        <v>12</v>
      </c>
      <c r="B131" s="390" t="s">
        <v>223</v>
      </c>
      <c r="C131" s="389" t="s">
        <v>224</v>
      </c>
      <c r="D131" s="394">
        <f>VLOOKUP($F$13,таблица,46,0)</f>
        <v>28161</v>
      </c>
      <c r="K131" s="365">
        <f t="shared" si="82"/>
        <v>1</v>
      </c>
    </row>
    <row r="132" spans="1:11" hidden="1" x14ac:dyDescent="0.25">
      <c r="A132" s="389">
        <f>IF(D132=0,0,IF(D131=0,A130+1,A131+1))</f>
        <v>0</v>
      </c>
      <c r="B132" s="390" t="s">
        <v>351</v>
      </c>
      <c r="C132" s="389" t="s">
        <v>224</v>
      </c>
      <c r="D132" s="394">
        <f>VLOOKUP($F$13,таблица,56,0)</f>
        <v>0</v>
      </c>
      <c r="K132" s="365" t="str">
        <f t="shared" si="82"/>
        <v/>
      </c>
    </row>
    <row r="133" spans="1:11" x14ac:dyDescent="0.25">
      <c r="A133" s="464" t="s">
        <v>225</v>
      </c>
      <c r="B133" s="464"/>
      <c r="C133" s="464"/>
      <c r="D133" s="464"/>
      <c r="K133" s="365">
        <f>IF($F$13=0,"",1)</f>
        <v>1</v>
      </c>
    </row>
    <row r="134" spans="1:11" ht="31.5" x14ac:dyDescent="0.25">
      <c r="A134" s="389">
        <f>IF(D134=0,0,IF(D132=0,IF(D131=0,A128+1,A131+1),A132+1))</f>
        <v>13</v>
      </c>
      <c r="B134" s="395" t="s">
        <v>275</v>
      </c>
      <c r="C134" s="389" t="s">
        <v>224</v>
      </c>
      <c r="D134" s="394">
        <f>SUM(VLOOKUP($F$13,таблица,41,0),D131)</f>
        <v>347806</v>
      </c>
      <c r="E134" s="365"/>
      <c r="K134" s="365">
        <f t="shared" ref="K134:K140" si="83">IF(D134=0,"",1)</f>
        <v>1</v>
      </c>
    </row>
    <row r="135" spans="1:11" x14ac:dyDescent="0.25">
      <c r="A135" s="389">
        <f>IF(D135=0,0,A134+1)</f>
        <v>14</v>
      </c>
      <c r="B135" s="395" t="s">
        <v>227</v>
      </c>
      <c r="C135" s="389" t="s">
        <v>224</v>
      </c>
      <c r="D135" s="394">
        <f>VLOOKUP($F$13,таблица,51,0)</f>
        <v>62605</v>
      </c>
      <c r="E135" s="365"/>
      <c r="K135" s="365">
        <f t="shared" si="83"/>
        <v>1</v>
      </c>
    </row>
    <row r="136" spans="1:11" x14ac:dyDescent="0.25">
      <c r="A136" s="389">
        <f>IF(D136=0,0,A135+1)</f>
        <v>15</v>
      </c>
      <c r="B136" s="395" t="s">
        <v>274</v>
      </c>
      <c r="C136" s="389" t="s">
        <v>224</v>
      </c>
      <c r="D136" s="397">
        <f>SUM(D134:D135)</f>
        <v>410411</v>
      </c>
      <c r="E136" s="391">
        <f>VLOOKUP($F$13,таблица,71,0)</f>
        <v>410411</v>
      </c>
      <c r="K136" s="365">
        <f t="shared" si="83"/>
        <v>1</v>
      </c>
    </row>
    <row r="137" spans="1:11" ht="31.5" hidden="1" x14ac:dyDescent="0.25">
      <c r="A137" s="389">
        <f>IF(D137=0,0,IF(D136=0,IF(D132=0,A128+1,A132+1),A136+1))</f>
        <v>0</v>
      </c>
      <c r="B137" s="395" t="s">
        <v>349</v>
      </c>
      <c r="C137" s="389" t="s">
        <v>224</v>
      </c>
      <c r="D137" s="394">
        <f>VLOOKUP($F$13,таблица,36,0)-VLOOKUP($F$13,таблица,41,0)+D132</f>
        <v>0</v>
      </c>
      <c r="K137" s="365" t="str">
        <f t="shared" si="83"/>
        <v/>
      </c>
    </row>
    <row r="138" spans="1:11" hidden="1" x14ac:dyDescent="0.25">
      <c r="A138" s="389">
        <f>IF(D138=0,0,A137+1)</f>
        <v>0</v>
      </c>
      <c r="B138" s="395" t="s">
        <v>227</v>
      </c>
      <c r="C138" s="389" t="s">
        <v>224</v>
      </c>
      <c r="D138" s="394">
        <f>VLOOKUP($F$13,таблица,61,0)</f>
        <v>0</v>
      </c>
      <c r="K138" s="365" t="str">
        <f t="shared" si="83"/>
        <v/>
      </c>
    </row>
    <row r="139" spans="1:11" hidden="1" x14ac:dyDescent="0.25">
      <c r="A139" s="389">
        <f>IF(D139=0,0,A138+1)</f>
        <v>0</v>
      </c>
      <c r="B139" s="395" t="s">
        <v>350</v>
      </c>
      <c r="C139" s="389" t="s">
        <v>224</v>
      </c>
      <c r="D139" s="397">
        <f>SUM(D137:D138)</f>
        <v>0</v>
      </c>
      <c r="E139" s="391">
        <f>VLOOKUP($F$13,таблица,72,0)</f>
        <v>0</v>
      </c>
      <c r="K139" s="365" t="str">
        <f t="shared" si="83"/>
        <v/>
      </c>
    </row>
    <row r="140" spans="1:11" hidden="1" x14ac:dyDescent="0.25">
      <c r="A140" s="389">
        <f>IF(D140=0,0,A139+1)</f>
        <v>0</v>
      </c>
      <c r="B140" s="395" t="s">
        <v>226</v>
      </c>
      <c r="C140" s="389" t="s">
        <v>224</v>
      </c>
      <c r="D140" s="397">
        <f>IF(OR(D136=0,D139=0),0,D139+D136)</f>
        <v>0</v>
      </c>
      <c r="E140" s="391">
        <f>VLOOKUP($F$13,таблица,62,0)</f>
        <v>410411</v>
      </c>
      <c r="K140" s="365" t="str">
        <f t="shared" si="83"/>
        <v/>
      </c>
    </row>
    <row r="141" spans="1:11" x14ac:dyDescent="0.25">
      <c r="A141" s="400"/>
      <c r="B141" s="400"/>
      <c r="C141" s="400"/>
      <c r="D141" s="401"/>
      <c r="K141" s="365">
        <f>IF($F$13=0,"",1)</f>
        <v>1</v>
      </c>
    </row>
    <row r="142" spans="1:11" ht="47.25" customHeight="1" x14ac:dyDescent="0.25">
      <c r="A142" s="465" t="str">
        <f>'Анализ стоимости'!$I$58</f>
        <v>Начальник финансового отдела</v>
      </c>
      <c r="B142" s="466"/>
      <c r="C142" s="402"/>
      <c r="D142" s="403" t="str">
        <f>'Анализ стоимости'!$I$59</f>
        <v>А.Ю.Кашуба</v>
      </c>
      <c r="H142" s="405" t="str">
        <f>A142</f>
        <v>Начальник финансового отдела</v>
      </c>
      <c r="K142" s="365">
        <f>IF($F$13=0,"",1)</f>
        <v>1</v>
      </c>
    </row>
    <row r="143" spans="1:11" x14ac:dyDescent="0.25">
      <c r="A143" s="407"/>
      <c r="B143" s="407"/>
      <c r="C143" s="407"/>
      <c r="D143" s="408"/>
      <c r="K143" s="365">
        <f>IF($F$13=0,"",1)</f>
        <v>1</v>
      </c>
    </row>
    <row r="144" spans="1:11" x14ac:dyDescent="0.25">
      <c r="A144" s="462">
        <f ca="1">TODAY()</f>
        <v>42101</v>
      </c>
      <c r="B144" s="462"/>
      <c r="C144" s="371"/>
      <c r="D144" s="371"/>
      <c r="K144" s="365">
        <f>IF($F$13=0,"",1)</f>
        <v>1</v>
      </c>
    </row>
    <row r="145" spans="1:11" hidden="1" x14ac:dyDescent="0.25">
      <c r="A145" s="463" t="s">
        <v>246</v>
      </c>
      <c r="B145" s="463"/>
      <c r="C145" s="463"/>
      <c r="D145" s="463"/>
      <c r="H145" s="369"/>
      <c r="I145" s="369"/>
      <c r="K145" s="365" t="str">
        <f t="shared" ref="K145:K162" si="84">IF($F$14=0,"",1)</f>
        <v/>
      </c>
    </row>
    <row r="146" spans="1:11" ht="47.25" hidden="1" customHeight="1" x14ac:dyDescent="0.2">
      <c r="A146" s="458" t="e">
        <f>CONCATENATE("Наименование объекта: ",VLOOKUP($F$14,таблица,9,0))</f>
        <v>#N/A</v>
      </c>
      <c r="B146" s="458"/>
      <c r="C146" s="458"/>
      <c r="D146" s="458"/>
      <c r="J146" s="414" t="e">
        <f>A146</f>
        <v>#N/A</v>
      </c>
      <c r="K146" s="365" t="str">
        <f t="shared" si="84"/>
        <v/>
      </c>
    </row>
    <row r="147" spans="1:11" hidden="1" x14ac:dyDescent="0.25">
      <c r="A147" s="383"/>
      <c r="B147" s="372"/>
      <c r="C147" s="372"/>
      <c r="D147" s="372"/>
      <c r="K147" s="365" t="str">
        <f t="shared" si="84"/>
        <v/>
      </c>
    </row>
    <row r="148" spans="1:11" hidden="1" x14ac:dyDescent="0.25">
      <c r="A148" s="415" t="s">
        <v>218</v>
      </c>
      <c r="B148" s="378"/>
      <c r="C148" s="378"/>
      <c r="D148" s="378"/>
      <c r="K148" s="365" t="str">
        <f t="shared" si="84"/>
        <v/>
      </c>
    </row>
    <row r="149" spans="1:11" hidden="1" x14ac:dyDescent="0.25">
      <c r="A149" s="459" t="s">
        <v>219</v>
      </c>
      <c r="B149" s="459"/>
      <c r="C149" s="459"/>
      <c r="D149" s="459"/>
      <c r="K149" s="365" t="str">
        <f t="shared" si="84"/>
        <v/>
      </c>
    </row>
    <row r="150" spans="1:11" ht="31.5" hidden="1" x14ac:dyDescent="0.25">
      <c r="A150" s="385" t="s">
        <v>111</v>
      </c>
      <c r="B150" s="385" t="s">
        <v>167</v>
      </c>
      <c r="C150" s="460" t="e">
        <f>CONCATENATE("Стоимость  согласно сметной документации (руб.) в текущих ценах по состоянию на ",VLOOKUP($F$14,таблица,5,0)," г.")</f>
        <v>#N/A</v>
      </c>
      <c r="D150" s="461"/>
      <c r="I150" s="386" t="e">
        <f>C150</f>
        <v>#N/A</v>
      </c>
      <c r="K150" s="365" t="str">
        <f t="shared" si="84"/>
        <v/>
      </c>
    </row>
    <row r="151" spans="1:11" hidden="1" x14ac:dyDescent="0.25">
      <c r="A151" s="389">
        <v>1</v>
      </c>
      <c r="B151" s="390" t="s">
        <v>68</v>
      </c>
      <c r="C151" s="455" t="e">
        <f>VLOOKUP($F$14,таблица,10,0)</f>
        <v>#N/A</v>
      </c>
      <c r="D151" s="456"/>
      <c r="K151" s="365" t="str">
        <f t="shared" si="84"/>
        <v/>
      </c>
    </row>
    <row r="152" spans="1:11" hidden="1" x14ac:dyDescent="0.25">
      <c r="A152" s="389">
        <v>2</v>
      </c>
      <c r="B152" s="390" t="s">
        <v>58</v>
      </c>
      <c r="C152" s="455" t="e">
        <f>VLOOKUP($F$14,таблица,11,0)</f>
        <v>#N/A</v>
      </c>
      <c r="D152" s="456"/>
      <c r="K152" s="365" t="str">
        <f t="shared" si="84"/>
        <v/>
      </c>
    </row>
    <row r="153" spans="1:11" ht="31.5" hidden="1" x14ac:dyDescent="0.25">
      <c r="A153" s="389">
        <v>3</v>
      </c>
      <c r="B153" s="390" t="s">
        <v>8</v>
      </c>
      <c r="C153" s="455" t="e">
        <f>VLOOKUP($F$14,таблица,12,0)</f>
        <v>#N/A</v>
      </c>
      <c r="D153" s="456"/>
      <c r="K153" s="365" t="str">
        <f t="shared" si="84"/>
        <v/>
      </c>
    </row>
    <row r="154" spans="1:11" hidden="1" x14ac:dyDescent="0.25">
      <c r="A154" s="389">
        <v>4</v>
      </c>
      <c r="B154" s="390" t="s">
        <v>59</v>
      </c>
      <c r="C154" s="455" t="e">
        <f>VLOOKUP($F$14,таблица,13,0)</f>
        <v>#N/A</v>
      </c>
      <c r="D154" s="456"/>
      <c r="K154" s="365" t="str">
        <f t="shared" si="84"/>
        <v/>
      </c>
    </row>
    <row r="155" spans="1:11" hidden="1" x14ac:dyDescent="0.25">
      <c r="A155" s="389">
        <v>5</v>
      </c>
      <c r="B155" s="390" t="s">
        <v>14</v>
      </c>
      <c r="C155" s="455" t="e">
        <f>VLOOKUP($F$14,таблица,14,0)</f>
        <v>#N/A</v>
      </c>
      <c r="D155" s="456"/>
      <c r="K155" s="365" t="str">
        <f t="shared" si="84"/>
        <v/>
      </c>
    </row>
    <row r="156" spans="1:11" hidden="1" x14ac:dyDescent="0.25">
      <c r="A156" s="389">
        <v>6</v>
      </c>
      <c r="B156" s="390" t="s">
        <v>23</v>
      </c>
      <c r="C156" s="455" t="e">
        <f>VLOOKUP($F$14,таблица,18,0)</f>
        <v>#N/A</v>
      </c>
      <c r="D156" s="456"/>
      <c r="K156" s="365" t="str">
        <f t="shared" si="84"/>
        <v/>
      </c>
    </row>
    <row r="157" spans="1:11" hidden="1" x14ac:dyDescent="0.25">
      <c r="A157" s="389">
        <v>7</v>
      </c>
      <c r="B157" s="390" t="s">
        <v>156</v>
      </c>
      <c r="C157" s="455" t="e">
        <f>VLOOKUP($F$14,таблица,19,0)+VLOOKUP($F$14,таблица,21,0)+VLOOKUP($F$14,таблица,22,0)+VLOOKUP($F$14,таблица,23,0)+VLOOKUP($F$14,таблица,24,0)+VLOOKUP($F$14,таблица,25,0)+VLOOKUP($F$14,таблица,26,0)</f>
        <v>#N/A</v>
      </c>
      <c r="D157" s="456"/>
      <c r="K157" s="365" t="str">
        <f t="shared" si="84"/>
        <v/>
      </c>
    </row>
    <row r="158" spans="1:11" hidden="1" x14ac:dyDescent="0.25">
      <c r="A158" s="389">
        <v>8</v>
      </c>
      <c r="B158" s="390" t="s">
        <v>101</v>
      </c>
      <c r="C158" s="455" t="e">
        <f>VLOOKUP($F$14,таблица,31,0)</f>
        <v>#N/A</v>
      </c>
      <c r="D158" s="456"/>
      <c r="K158" s="365" t="str">
        <f t="shared" si="84"/>
        <v/>
      </c>
    </row>
    <row r="159" spans="1:11" hidden="1" x14ac:dyDescent="0.25">
      <c r="A159" s="389">
        <v>9</v>
      </c>
      <c r="B159" s="390" t="s">
        <v>241</v>
      </c>
      <c r="C159" s="455" t="e">
        <f>SUM(C151:D158)</f>
        <v>#N/A</v>
      </c>
      <c r="D159" s="456"/>
      <c r="K159" s="365" t="str">
        <f t="shared" si="84"/>
        <v/>
      </c>
    </row>
    <row r="160" spans="1:11" hidden="1" x14ac:dyDescent="0.25">
      <c r="A160" s="464" t="s">
        <v>231</v>
      </c>
      <c r="B160" s="464"/>
      <c r="C160" s="464"/>
      <c r="D160" s="464"/>
      <c r="K160" s="365" t="str">
        <f t="shared" si="84"/>
        <v/>
      </c>
    </row>
    <row r="161" spans="1:11" ht="31.5" hidden="1" x14ac:dyDescent="0.25">
      <c r="A161" s="392" t="s">
        <v>111</v>
      </c>
      <c r="B161" s="385" t="s">
        <v>36</v>
      </c>
      <c r="C161" s="385" t="s">
        <v>221</v>
      </c>
      <c r="D161" s="385" t="s">
        <v>168</v>
      </c>
      <c r="K161" s="365" t="str">
        <f t="shared" si="84"/>
        <v/>
      </c>
    </row>
    <row r="162" spans="1:11" hidden="1" x14ac:dyDescent="0.25">
      <c r="A162" s="389">
        <v>10</v>
      </c>
      <c r="B162" s="389" t="e">
        <f>VLOOKUP((VLOOKUP($F$14,таблица,8,0)),рем_содер,2,0)</f>
        <v>#N/A</v>
      </c>
      <c r="C162" s="389"/>
      <c r="D162" s="390"/>
      <c r="K162" s="365" t="str">
        <f t="shared" si="84"/>
        <v/>
      </c>
    </row>
    <row r="163" spans="1:11" hidden="1" x14ac:dyDescent="0.25">
      <c r="A163" s="389" t="e">
        <f>IF(D163=0,0,A162+1)</f>
        <v>#N/A</v>
      </c>
      <c r="B163" s="390" t="e">
        <f>CONCATENATE("2015 г. (",CHOOSE(VLOOKUP(F$14,таблица,63,0),"Январь","Февраль","Март","Апрель","Май","Июнь","Июль","Август","Сентябрь","Октябрь","Ноябрь","Декабрь")," - ",CHOOSE(VLOOKUP(F$14,таблица,64,0),"Январь","Февраль","Март","Апрель","Май","Июнь","Июль","Август","Сентябрь","Октябрь","Ноябрь","Декабрь"),")")</f>
        <v>#N/A</v>
      </c>
      <c r="C163" s="389" t="s">
        <v>222</v>
      </c>
      <c r="D163" s="417" t="e">
        <f>IF(D165=0,0,VLOOKUP($F$14,таблица,69,0)*100+100)</f>
        <v>#N/A</v>
      </c>
      <c r="K163" s="365" t="e">
        <f>IF(D163=0,"",1)</f>
        <v>#N/A</v>
      </c>
    </row>
    <row r="164" spans="1:11" hidden="1" x14ac:dyDescent="0.25">
      <c r="A164" s="389" t="e">
        <f>IF(D164=0,0,IF(D163=0,A162+1,A163+1))</f>
        <v>#N/A</v>
      </c>
      <c r="B164" s="390" t="e">
        <f>CONCATENATE("2016 г. (",CHOOSE(VLOOKUP(F$14,таблица,65,0),"Январь","Февраль","Март","Апрель","Май","Июнь","Июль","Август","Сентябрь","Октябрь","Ноябрь","Декабрь")," - ",CHOOSE(VLOOKUP(F$14,таблица,66,0),"Январь","Февраль","Март","Апрель","Май","Июнь","Июль","Август","Сентябрь","Октябрь","Ноябрь","Декабрь"),")")</f>
        <v>#N/A</v>
      </c>
      <c r="C164" s="389" t="s">
        <v>222</v>
      </c>
      <c r="D164" s="417" t="e">
        <f>IF(D166=0,0,VLOOKUP($F$14,таблица,70,0)*100+100)</f>
        <v>#N/A</v>
      </c>
      <c r="K164" s="365" t="e">
        <f t="shared" ref="K164:K166" si="85">IF(D164=0,"",1)</f>
        <v>#N/A</v>
      </c>
    </row>
    <row r="165" spans="1:11" hidden="1" x14ac:dyDescent="0.25">
      <c r="A165" s="389" t="e">
        <f>IF(D165=0,0,IF(D164=0,A163+1,A164+1))</f>
        <v>#N/A</v>
      </c>
      <c r="B165" s="390" t="s">
        <v>223</v>
      </c>
      <c r="C165" s="389" t="s">
        <v>224</v>
      </c>
      <c r="D165" s="394" t="e">
        <f>VLOOKUP($F$14,таблица,46,0)</f>
        <v>#N/A</v>
      </c>
      <c r="K165" s="365" t="e">
        <f t="shared" si="85"/>
        <v>#N/A</v>
      </c>
    </row>
    <row r="166" spans="1:11" hidden="1" x14ac:dyDescent="0.25">
      <c r="A166" s="389" t="e">
        <f>IF(D166=0,0,IF(D165=0,A164+1,A165+1))</f>
        <v>#N/A</v>
      </c>
      <c r="B166" s="390" t="s">
        <v>351</v>
      </c>
      <c r="C166" s="389" t="s">
        <v>224</v>
      </c>
      <c r="D166" s="394" t="e">
        <f>VLOOKUP($F$14,таблица,56,0)</f>
        <v>#N/A</v>
      </c>
      <c r="K166" s="365" t="e">
        <f t="shared" si="85"/>
        <v>#N/A</v>
      </c>
    </row>
    <row r="167" spans="1:11" hidden="1" x14ac:dyDescent="0.25">
      <c r="A167" s="464" t="s">
        <v>225</v>
      </c>
      <c r="B167" s="464"/>
      <c r="C167" s="464"/>
      <c r="D167" s="464"/>
      <c r="K167" s="365" t="str">
        <f>IF($F$14=0,"",1)</f>
        <v/>
      </c>
    </row>
    <row r="168" spans="1:11" ht="31.5" hidden="1" x14ac:dyDescent="0.25">
      <c r="A168" s="389" t="e">
        <f>IF(D168=0,0,IF(D166=0,IF(D165=0,A162+1,A165+1),A166+1))</f>
        <v>#N/A</v>
      </c>
      <c r="B168" s="395" t="s">
        <v>275</v>
      </c>
      <c r="C168" s="389" t="s">
        <v>224</v>
      </c>
      <c r="D168" s="394" t="e">
        <f>SUM(VLOOKUP($F$14,таблица,41,0),D165)</f>
        <v>#N/A</v>
      </c>
      <c r="E168" s="365"/>
      <c r="K168" s="365" t="e">
        <f t="shared" ref="K168:K174" si="86">IF(D168=0,"",1)</f>
        <v>#N/A</v>
      </c>
    </row>
    <row r="169" spans="1:11" hidden="1" x14ac:dyDescent="0.25">
      <c r="A169" s="389" t="e">
        <f>IF(D169=0,0,A168+1)</f>
        <v>#N/A</v>
      </c>
      <c r="B169" s="395" t="s">
        <v>227</v>
      </c>
      <c r="C169" s="389" t="s">
        <v>224</v>
      </c>
      <c r="D169" s="394" t="e">
        <f>VLOOKUP($F$14,таблица,51,0)</f>
        <v>#N/A</v>
      </c>
      <c r="E169" s="365"/>
      <c r="K169" s="365" t="e">
        <f t="shared" si="86"/>
        <v>#N/A</v>
      </c>
    </row>
    <row r="170" spans="1:11" hidden="1" x14ac:dyDescent="0.25">
      <c r="A170" s="389" t="e">
        <f>IF(D170=0,0,A169+1)</f>
        <v>#N/A</v>
      </c>
      <c r="B170" s="395" t="s">
        <v>274</v>
      </c>
      <c r="C170" s="389" t="s">
        <v>224</v>
      </c>
      <c r="D170" s="397" t="e">
        <f>SUM(D168:D169)</f>
        <v>#N/A</v>
      </c>
      <c r="E170" s="391" t="e">
        <f>VLOOKUP($F$14,таблица,71,0)</f>
        <v>#N/A</v>
      </c>
      <c r="K170" s="365" t="e">
        <f t="shared" si="86"/>
        <v>#N/A</v>
      </c>
    </row>
    <row r="171" spans="1:11" ht="31.5" hidden="1" x14ac:dyDescent="0.25">
      <c r="A171" s="389" t="e">
        <f>IF(D171=0,0,IF(D170=0,IF(D166=0,A162+1,A166+1),A170+1))</f>
        <v>#N/A</v>
      </c>
      <c r="B171" s="395" t="s">
        <v>349</v>
      </c>
      <c r="C171" s="389" t="s">
        <v>224</v>
      </c>
      <c r="D171" s="394" t="e">
        <f>VLOOKUP($F$14,таблица,36,0)-VLOOKUP($F$14,таблица,41,0)+D166</f>
        <v>#N/A</v>
      </c>
      <c r="K171" s="365" t="e">
        <f t="shared" si="86"/>
        <v>#N/A</v>
      </c>
    </row>
    <row r="172" spans="1:11" hidden="1" x14ac:dyDescent="0.25">
      <c r="A172" s="389" t="e">
        <f>IF(D172=0,0,A171+1)</f>
        <v>#N/A</v>
      </c>
      <c r="B172" s="395" t="s">
        <v>227</v>
      </c>
      <c r="C172" s="389" t="s">
        <v>224</v>
      </c>
      <c r="D172" s="394" t="e">
        <f>VLOOKUP($F$14,таблица,61,0)</f>
        <v>#N/A</v>
      </c>
      <c r="K172" s="365" t="e">
        <f t="shared" si="86"/>
        <v>#N/A</v>
      </c>
    </row>
    <row r="173" spans="1:11" hidden="1" x14ac:dyDescent="0.25">
      <c r="A173" s="389" t="e">
        <f>IF(D173=0,0,A172+1)</f>
        <v>#N/A</v>
      </c>
      <c r="B173" s="395" t="s">
        <v>350</v>
      </c>
      <c r="C173" s="389" t="s">
        <v>224</v>
      </c>
      <c r="D173" s="397" t="e">
        <f>SUM(D171:D172)</f>
        <v>#N/A</v>
      </c>
      <c r="E173" s="391" t="e">
        <f>VLOOKUP($F$14,таблица,72,0)</f>
        <v>#N/A</v>
      </c>
      <c r="K173" s="365" t="e">
        <f t="shared" si="86"/>
        <v>#N/A</v>
      </c>
    </row>
    <row r="174" spans="1:11" hidden="1" x14ac:dyDescent="0.25">
      <c r="A174" s="389" t="e">
        <f>IF(D174=0,0,A173+1)</f>
        <v>#N/A</v>
      </c>
      <c r="B174" s="395" t="s">
        <v>226</v>
      </c>
      <c r="C174" s="389" t="s">
        <v>224</v>
      </c>
      <c r="D174" s="397" t="e">
        <f>IF(OR(D170=0,D173=0),0,D173+D170)</f>
        <v>#N/A</v>
      </c>
      <c r="E174" s="391" t="e">
        <f>VLOOKUP($F$14,таблица,62,0)</f>
        <v>#N/A</v>
      </c>
      <c r="K174" s="365" t="e">
        <f t="shared" si="86"/>
        <v>#N/A</v>
      </c>
    </row>
    <row r="175" spans="1:11" hidden="1" x14ac:dyDescent="0.25">
      <c r="A175" s="400"/>
      <c r="B175" s="400"/>
      <c r="C175" s="400"/>
      <c r="D175" s="401"/>
      <c r="K175" s="365" t="str">
        <f>IF($F$14=0,"",1)</f>
        <v/>
      </c>
    </row>
    <row r="176" spans="1:11" ht="47.25" hidden="1" customHeight="1" x14ac:dyDescent="0.25">
      <c r="A176" s="465" t="str">
        <f>'Анализ стоимости'!$I$58</f>
        <v>Начальник финансового отдела</v>
      </c>
      <c r="B176" s="466"/>
      <c r="C176" s="402"/>
      <c r="D176" s="403" t="str">
        <f>'Анализ стоимости'!$I$59</f>
        <v>А.Ю.Кашуба</v>
      </c>
      <c r="H176" s="405" t="str">
        <f>A176</f>
        <v>Начальник финансового отдела</v>
      </c>
      <c r="K176" s="365" t="str">
        <f>IF($F$14=0,"",1)</f>
        <v/>
      </c>
    </row>
    <row r="177" spans="1:11" hidden="1" x14ac:dyDescent="0.25">
      <c r="A177" s="407"/>
      <c r="B177" s="407"/>
      <c r="C177" s="407"/>
      <c r="D177" s="408"/>
      <c r="K177" s="365" t="str">
        <f>IF($F$14=0,"",1)</f>
        <v/>
      </c>
    </row>
    <row r="178" spans="1:11" hidden="1" x14ac:dyDescent="0.25">
      <c r="A178" s="462">
        <f ca="1">TODAY()</f>
        <v>42101</v>
      </c>
      <c r="B178" s="462"/>
      <c r="C178" s="371"/>
      <c r="D178" s="371"/>
      <c r="K178" s="365" t="str">
        <f>IF($F$14=0,"",1)</f>
        <v/>
      </c>
    </row>
    <row r="179" spans="1:11" hidden="1" x14ac:dyDescent="0.25">
      <c r="A179" s="463" t="s">
        <v>247</v>
      </c>
      <c r="B179" s="463"/>
      <c r="C179" s="463"/>
      <c r="D179" s="463"/>
      <c r="H179" s="369"/>
      <c r="I179" s="369"/>
      <c r="K179" s="365" t="str">
        <f t="shared" ref="K179:K196" si="87">IF($F$15=0,"",1)</f>
        <v/>
      </c>
    </row>
    <row r="180" spans="1:11" ht="47.25" hidden="1" customHeight="1" x14ac:dyDescent="0.2">
      <c r="A180" s="458" t="e">
        <f>CONCATENATE("Наименование объекта: ",VLOOKUP($F$15,таблица,9,0))</f>
        <v>#N/A</v>
      </c>
      <c r="B180" s="458"/>
      <c r="C180" s="458"/>
      <c r="D180" s="458"/>
      <c r="J180" s="414" t="e">
        <f>A180</f>
        <v>#N/A</v>
      </c>
      <c r="K180" s="365" t="str">
        <f t="shared" si="87"/>
        <v/>
      </c>
    </row>
    <row r="181" spans="1:11" hidden="1" x14ac:dyDescent="0.25">
      <c r="A181" s="383"/>
      <c r="B181" s="372"/>
      <c r="C181" s="372"/>
      <c r="D181" s="372"/>
      <c r="K181" s="365" t="str">
        <f t="shared" si="87"/>
        <v/>
      </c>
    </row>
    <row r="182" spans="1:11" hidden="1" x14ac:dyDescent="0.25">
      <c r="A182" s="415" t="s">
        <v>218</v>
      </c>
      <c r="B182" s="378"/>
      <c r="C182" s="378"/>
      <c r="D182" s="378"/>
      <c r="K182" s="365" t="str">
        <f t="shared" si="87"/>
        <v/>
      </c>
    </row>
    <row r="183" spans="1:11" hidden="1" x14ac:dyDescent="0.25">
      <c r="A183" s="459" t="s">
        <v>219</v>
      </c>
      <c r="B183" s="459"/>
      <c r="C183" s="459"/>
      <c r="D183" s="459"/>
      <c r="K183" s="365" t="str">
        <f t="shared" si="87"/>
        <v/>
      </c>
    </row>
    <row r="184" spans="1:11" ht="31.5" hidden="1" x14ac:dyDescent="0.25">
      <c r="A184" s="385" t="s">
        <v>111</v>
      </c>
      <c r="B184" s="385" t="s">
        <v>167</v>
      </c>
      <c r="C184" s="460" t="e">
        <f>CONCATENATE("Стоимость  согласно сметной документации (руб.) в текущих ценах по состоянию на ",VLOOKUP($F$15,таблица,5,0)," г.")</f>
        <v>#N/A</v>
      </c>
      <c r="D184" s="461"/>
      <c r="I184" s="386" t="e">
        <f>C184</f>
        <v>#N/A</v>
      </c>
      <c r="K184" s="365" t="str">
        <f t="shared" si="87"/>
        <v/>
      </c>
    </row>
    <row r="185" spans="1:11" hidden="1" x14ac:dyDescent="0.25">
      <c r="A185" s="389">
        <v>1</v>
      </c>
      <c r="B185" s="390" t="s">
        <v>68</v>
      </c>
      <c r="C185" s="455" t="e">
        <f>VLOOKUP($F$15,таблица,10,0)</f>
        <v>#N/A</v>
      </c>
      <c r="D185" s="456"/>
      <c r="K185" s="365" t="str">
        <f t="shared" si="87"/>
        <v/>
      </c>
    </row>
    <row r="186" spans="1:11" hidden="1" x14ac:dyDescent="0.25">
      <c r="A186" s="389">
        <v>2</v>
      </c>
      <c r="B186" s="390" t="s">
        <v>58</v>
      </c>
      <c r="C186" s="455" t="e">
        <f>VLOOKUP($F$15,таблица,11,0)</f>
        <v>#N/A</v>
      </c>
      <c r="D186" s="456"/>
      <c r="K186" s="365" t="str">
        <f t="shared" si="87"/>
        <v/>
      </c>
    </row>
    <row r="187" spans="1:11" ht="31.5" hidden="1" x14ac:dyDescent="0.25">
      <c r="A187" s="389">
        <v>3</v>
      </c>
      <c r="B187" s="390" t="s">
        <v>8</v>
      </c>
      <c r="C187" s="455" t="e">
        <f>VLOOKUP($F$15,таблица,12,0)</f>
        <v>#N/A</v>
      </c>
      <c r="D187" s="456"/>
      <c r="K187" s="365" t="str">
        <f t="shared" si="87"/>
        <v/>
      </c>
    </row>
    <row r="188" spans="1:11" hidden="1" x14ac:dyDescent="0.25">
      <c r="A188" s="389">
        <v>4</v>
      </c>
      <c r="B188" s="390" t="s">
        <v>59</v>
      </c>
      <c r="C188" s="455" t="e">
        <f>VLOOKUP($F$15,таблица,13,0)</f>
        <v>#N/A</v>
      </c>
      <c r="D188" s="456"/>
      <c r="K188" s="365" t="str">
        <f t="shared" si="87"/>
        <v/>
      </c>
    </row>
    <row r="189" spans="1:11" hidden="1" x14ac:dyDescent="0.25">
      <c r="A189" s="389">
        <v>5</v>
      </c>
      <c r="B189" s="390" t="s">
        <v>14</v>
      </c>
      <c r="C189" s="455" t="e">
        <f>VLOOKUP($F$15,таблица,14,0)</f>
        <v>#N/A</v>
      </c>
      <c r="D189" s="456"/>
      <c r="K189" s="365" t="str">
        <f t="shared" si="87"/>
        <v/>
      </c>
    </row>
    <row r="190" spans="1:11" hidden="1" x14ac:dyDescent="0.25">
      <c r="A190" s="389">
        <v>6</v>
      </c>
      <c r="B190" s="390" t="s">
        <v>23</v>
      </c>
      <c r="C190" s="455" t="e">
        <f>VLOOKUP($F$15,таблица,18,0)</f>
        <v>#N/A</v>
      </c>
      <c r="D190" s="456"/>
      <c r="K190" s="365" t="str">
        <f t="shared" si="87"/>
        <v/>
      </c>
    </row>
    <row r="191" spans="1:11" hidden="1" x14ac:dyDescent="0.25">
      <c r="A191" s="389">
        <v>7</v>
      </c>
      <c r="B191" s="390" t="s">
        <v>156</v>
      </c>
      <c r="C191" s="455" t="e">
        <f>VLOOKUP($F$15,таблица,19,0)+VLOOKUP($F$15,таблица,21,0)+VLOOKUP($F$15,таблица,22,0)+VLOOKUP($F$15,таблица,23,0)+VLOOKUP($F$15,таблица,24,0)+VLOOKUP($F$15,таблица,25,0)+VLOOKUP($F$15,таблица,26,0)</f>
        <v>#N/A</v>
      </c>
      <c r="D191" s="456"/>
      <c r="K191" s="365" t="str">
        <f t="shared" si="87"/>
        <v/>
      </c>
    </row>
    <row r="192" spans="1:11" hidden="1" x14ac:dyDescent="0.25">
      <c r="A192" s="389">
        <v>8</v>
      </c>
      <c r="B192" s="390" t="s">
        <v>101</v>
      </c>
      <c r="C192" s="455" t="e">
        <f>VLOOKUP($F$15,таблица,31,0)</f>
        <v>#N/A</v>
      </c>
      <c r="D192" s="456"/>
      <c r="K192" s="365" t="str">
        <f t="shared" si="87"/>
        <v/>
      </c>
    </row>
    <row r="193" spans="1:11" hidden="1" x14ac:dyDescent="0.25">
      <c r="A193" s="389">
        <v>9</v>
      </c>
      <c r="B193" s="390" t="s">
        <v>241</v>
      </c>
      <c r="C193" s="455" t="e">
        <f>SUM(C185:D192)</f>
        <v>#N/A</v>
      </c>
      <c r="D193" s="456"/>
      <c r="K193" s="365" t="str">
        <f t="shared" si="87"/>
        <v/>
      </c>
    </row>
    <row r="194" spans="1:11" hidden="1" x14ac:dyDescent="0.25">
      <c r="A194" s="464" t="s">
        <v>231</v>
      </c>
      <c r="B194" s="464"/>
      <c r="C194" s="464"/>
      <c r="D194" s="464"/>
      <c r="K194" s="365" t="str">
        <f t="shared" si="87"/>
        <v/>
      </c>
    </row>
    <row r="195" spans="1:11" ht="31.5" hidden="1" x14ac:dyDescent="0.25">
      <c r="A195" s="392" t="s">
        <v>111</v>
      </c>
      <c r="B195" s="385" t="s">
        <v>36</v>
      </c>
      <c r="C195" s="385" t="s">
        <v>221</v>
      </c>
      <c r="D195" s="385" t="s">
        <v>168</v>
      </c>
      <c r="K195" s="365" t="str">
        <f t="shared" si="87"/>
        <v/>
      </c>
    </row>
    <row r="196" spans="1:11" hidden="1" x14ac:dyDescent="0.25">
      <c r="A196" s="389">
        <v>10</v>
      </c>
      <c r="B196" s="389" t="e">
        <f>VLOOKUP((VLOOKUP($F$15,таблица,8,0)),рем_содер,2,0)</f>
        <v>#N/A</v>
      </c>
      <c r="C196" s="389"/>
      <c r="D196" s="390"/>
      <c r="K196" s="365" t="str">
        <f t="shared" si="87"/>
        <v/>
      </c>
    </row>
    <row r="197" spans="1:11" hidden="1" x14ac:dyDescent="0.25">
      <c r="A197" s="389" t="e">
        <f>IF(D197=0,0,A196+1)</f>
        <v>#N/A</v>
      </c>
      <c r="B197" s="390" t="e">
        <f>CONCATENATE("2015 г. (",CHOOSE(VLOOKUP(F$15,таблица,63,0),"Январь","Февраль","Март","Апрель","Май","Июнь","Июль","Август","Сентябрь","Октябрь","Ноябрь","Декабрь")," - ",CHOOSE(VLOOKUP(F$15,таблица,64,0),"Январь","Февраль","Март","Апрель","Май","Июнь","Июль","Август","Сентябрь","Октябрь","Ноябрь","Декабрь"),")")</f>
        <v>#N/A</v>
      </c>
      <c r="C197" s="389" t="s">
        <v>222</v>
      </c>
      <c r="D197" s="417" t="e">
        <f>IF(D199=0,0,VLOOKUP($F$15,таблица,69,0)*100+100)</f>
        <v>#N/A</v>
      </c>
      <c r="K197" s="365" t="e">
        <f>IF(D197=0,"",1)</f>
        <v>#N/A</v>
      </c>
    </row>
    <row r="198" spans="1:11" hidden="1" x14ac:dyDescent="0.25">
      <c r="A198" s="389" t="e">
        <f>IF(D198=0,0,IF(D197=0,A196+1,A197+1))</f>
        <v>#N/A</v>
      </c>
      <c r="B198" s="390" t="e">
        <f>CONCATENATE("2016 г. (",CHOOSE(VLOOKUP(F$15,таблица,65,0),"Январь","Февраль","Март","Апрель","Май","Июнь","Июль","Август","Сентябрь","Октябрь","Ноябрь","Декабрь")," - ",CHOOSE(VLOOKUP(F$15,таблица,66,0),"Январь","Февраль","Март","Апрель","Май","Июнь","Июль","Август","Сентябрь","Октябрь","Ноябрь","Декабрь"),")")</f>
        <v>#N/A</v>
      </c>
      <c r="C198" s="389" t="s">
        <v>222</v>
      </c>
      <c r="D198" s="417" t="e">
        <f>IF(D200=0,0,VLOOKUP($F$15,таблица,70,0)*100+100)</f>
        <v>#N/A</v>
      </c>
      <c r="K198" s="365" t="e">
        <f t="shared" ref="K198:K200" si="88">IF(D198=0,"",1)</f>
        <v>#N/A</v>
      </c>
    </row>
    <row r="199" spans="1:11" hidden="1" x14ac:dyDescent="0.25">
      <c r="A199" s="389" t="e">
        <f>IF(D199=0,0,IF(D198=0,A197+1,A198+1))</f>
        <v>#N/A</v>
      </c>
      <c r="B199" s="390" t="s">
        <v>223</v>
      </c>
      <c r="C199" s="389" t="s">
        <v>224</v>
      </c>
      <c r="D199" s="394" t="e">
        <f>VLOOKUP($F$15,таблица,46,0)</f>
        <v>#N/A</v>
      </c>
      <c r="K199" s="365" t="e">
        <f t="shared" si="88"/>
        <v>#N/A</v>
      </c>
    </row>
    <row r="200" spans="1:11" hidden="1" x14ac:dyDescent="0.25">
      <c r="A200" s="389" t="e">
        <f>IF(D200=0,0,IF(D199=0,A198+1,A199+1))</f>
        <v>#N/A</v>
      </c>
      <c r="B200" s="390" t="s">
        <v>351</v>
      </c>
      <c r="C200" s="389" t="s">
        <v>224</v>
      </c>
      <c r="D200" s="394" t="e">
        <f>VLOOKUP($F$15,таблица,56,0)</f>
        <v>#N/A</v>
      </c>
      <c r="K200" s="365" t="e">
        <f t="shared" si="88"/>
        <v>#N/A</v>
      </c>
    </row>
    <row r="201" spans="1:11" hidden="1" x14ac:dyDescent="0.25">
      <c r="A201" s="464" t="s">
        <v>225</v>
      </c>
      <c r="B201" s="464"/>
      <c r="C201" s="464"/>
      <c r="D201" s="464"/>
      <c r="K201" s="365" t="str">
        <f>IF($F$15=0,"",1)</f>
        <v/>
      </c>
    </row>
    <row r="202" spans="1:11" ht="31.5" hidden="1" x14ac:dyDescent="0.25">
      <c r="A202" s="389" t="e">
        <f>IF(D202=0,0,IF(D200=0,IF(D199=0,A196+1,A199+1),A200+1))</f>
        <v>#N/A</v>
      </c>
      <c r="B202" s="395" t="s">
        <v>275</v>
      </c>
      <c r="C202" s="389" t="s">
        <v>224</v>
      </c>
      <c r="D202" s="394" t="e">
        <f>SUM(VLOOKUP($F$15,таблица,41,0),D199)</f>
        <v>#N/A</v>
      </c>
      <c r="E202" s="365"/>
      <c r="K202" s="365" t="e">
        <f t="shared" ref="K202:K208" si="89">IF(D202=0,"",1)</f>
        <v>#N/A</v>
      </c>
    </row>
    <row r="203" spans="1:11" hidden="1" x14ac:dyDescent="0.25">
      <c r="A203" s="389" t="e">
        <f>IF(D203=0,0,A202+1)</f>
        <v>#N/A</v>
      </c>
      <c r="B203" s="395" t="s">
        <v>227</v>
      </c>
      <c r="C203" s="389" t="s">
        <v>224</v>
      </c>
      <c r="D203" s="394" t="e">
        <f>VLOOKUP($F$15,таблица,51,0)</f>
        <v>#N/A</v>
      </c>
      <c r="E203" s="365"/>
      <c r="K203" s="365" t="e">
        <f t="shared" si="89"/>
        <v>#N/A</v>
      </c>
    </row>
    <row r="204" spans="1:11" hidden="1" x14ac:dyDescent="0.25">
      <c r="A204" s="389" t="e">
        <f>IF(D204=0,0,A203+1)</f>
        <v>#N/A</v>
      </c>
      <c r="B204" s="395" t="s">
        <v>274</v>
      </c>
      <c r="C204" s="389" t="s">
        <v>224</v>
      </c>
      <c r="D204" s="397" t="e">
        <f>SUM(D202:D203)</f>
        <v>#N/A</v>
      </c>
      <c r="E204" s="391" t="e">
        <f>VLOOKUP($F$15,таблица,71,0)</f>
        <v>#N/A</v>
      </c>
      <c r="K204" s="365" t="e">
        <f t="shared" si="89"/>
        <v>#N/A</v>
      </c>
    </row>
    <row r="205" spans="1:11" ht="31.5" hidden="1" x14ac:dyDescent="0.25">
      <c r="A205" s="389" t="e">
        <f>IF(D205=0,0,IF(D204=0,IF(D200=0,A196+1,A200+1),A204+1))</f>
        <v>#N/A</v>
      </c>
      <c r="B205" s="395" t="s">
        <v>349</v>
      </c>
      <c r="C205" s="389" t="s">
        <v>224</v>
      </c>
      <c r="D205" s="394" t="e">
        <f>VLOOKUP($F$15,таблица,36,0)-VLOOKUP($F$15,таблица,41,0)+D200</f>
        <v>#N/A</v>
      </c>
      <c r="K205" s="365" t="e">
        <f t="shared" si="89"/>
        <v>#N/A</v>
      </c>
    </row>
    <row r="206" spans="1:11" hidden="1" x14ac:dyDescent="0.25">
      <c r="A206" s="389" t="e">
        <f>IF(D206=0,0,A205+1)</f>
        <v>#N/A</v>
      </c>
      <c r="B206" s="395" t="s">
        <v>227</v>
      </c>
      <c r="C206" s="389" t="s">
        <v>224</v>
      </c>
      <c r="D206" s="394" t="e">
        <f>VLOOKUP($F$15,таблица,61,0)</f>
        <v>#N/A</v>
      </c>
      <c r="K206" s="365" t="e">
        <f t="shared" si="89"/>
        <v>#N/A</v>
      </c>
    </row>
    <row r="207" spans="1:11" hidden="1" x14ac:dyDescent="0.25">
      <c r="A207" s="389" t="e">
        <f>IF(D207=0,0,A206+1)</f>
        <v>#N/A</v>
      </c>
      <c r="B207" s="395" t="s">
        <v>350</v>
      </c>
      <c r="C207" s="389" t="s">
        <v>224</v>
      </c>
      <c r="D207" s="397" t="e">
        <f>SUM(D205:D206)</f>
        <v>#N/A</v>
      </c>
      <c r="E207" s="391" t="e">
        <f>VLOOKUP($F$15,таблица,72,0)</f>
        <v>#N/A</v>
      </c>
      <c r="K207" s="365" t="e">
        <f t="shared" si="89"/>
        <v>#N/A</v>
      </c>
    </row>
    <row r="208" spans="1:11" hidden="1" x14ac:dyDescent="0.25">
      <c r="A208" s="389" t="e">
        <f>IF(D208=0,0,A207+1)</f>
        <v>#N/A</v>
      </c>
      <c r="B208" s="395" t="s">
        <v>226</v>
      </c>
      <c r="C208" s="389" t="s">
        <v>224</v>
      </c>
      <c r="D208" s="397" t="e">
        <f>IF(OR(D204=0,D207=0),0,D207+D204)</f>
        <v>#N/A</v>
      </c>
      <c r="E208" s="391" t="e">
        <f>VLOOKUP($F$15,таблица,62,0)</f>
        <v>#N/A</v>
      </c>
      <c r="K208" s="365" t="e">
        <f t="shared" si="89"/>
        <v>#N/A</v>
      </c>
    </row>
    <row r="209" spans="1:11" hidden="1" x14ac:dyDescent="0.25">
      <c r="A209" s="400"/>
      <c r="B209" s="400"/>
      <c r="C209" s="400"/>
      <c r="D209" s="401"/>
      <c r="K209" s="365" t="str">
        <f>IF($F$15=0,"",1)</f>
        <v/>
      </c>
    </row>
    <row r="210" spans="1:11" ht="47.25" hidden="1" customHeight="1" x14ac:dyDescent="0.25">
      <c r="A210" s="465" t="str">
        <f>'Анализ стоимости'!$I$58</f>
        <v>Начальник финансового отдела</v>
      </c>
      <c r="B210" s="466"/>
      <c r="C210" s="402"/>
      <c r="D210" s="403" t="str">
        <f>'Анализ стоимости'!$I$59</f>
        <v>А.Ю.Кашуба</v>
      </c>
      <c r="H210" s="405" t="str">
        <f>A210</f>
        <v>Начальник финансового отдела</v>
      </c>
      <c r="K210" s="365" t="str">
        <f>IF($F$15=0,"",1)</f>
        <v/>
      </c>
    </row>
    <row r="211" spans="1:11" hidden="1" x14ac:dyDescent="0.25">
      <c r="A211" s="407"/>
      <c r="B211" s="407"/>
      <c r="C211" s="407"/>
      <c r="D211" s="408"/>
      <c r="K211" s="365" t="str">
        <f>IF($F$15=0,"",1)</f>
        <v/>
      </c>
    </row>
    <row r="212" spans="1:11" hidden="1" x14ac:dyDescent="0.25">
      <c r="A212" s="462">
        <f ca="1">TODAY()</f>
        <v>42101</v>
      </c>
      <c r="B212" s="462"/>
      <c r="C212" s="371"/>
      <c r="D212" s="371"/>
      <c r="K212" s="365" t="str">
        <f>IF($F$15=0,"",1)</f>
        <v/>
      </c>
    </row>
    <row r="213" spans="1:11" hidden="1" x14ac:dyDescent="0.25">
      <c r="A213" s="463" t="s">
        <v>248</v>
      </c>
      <c r="B213" s="463"/>
      <c r="C213" s="463"/>
      <c r="D213" s="463"/>
      <c r="H213" s="369"/>
      <c r="I213" s="369"/>
      <c r="K213" s="365" t="str">
        <f t="shared" ref="K213:K230" si="90">IF($F$16=0,"",1)</f>
        <v/>
      </c>
    </row>
    <row r="214" spans="1:11" ht="47.25" hidden="1" customHeight="1" x14ac:dyDescent="0.2">
      <c r="A214" s="458" t="e">
        <f>CONCATENATE("Наименование объекта: ",VLOOKUP($F$16,таблица,9,0))</f>
        <v>#N/A</v>
      </c>
      <c r="B214" s="458"/>
      <c r="C214" s="458"/>
      <c r="D214" s="458"/>
      <c r="J214" s="414" t="e">
        <f>A214</f>
        <v>#N/A</v>
      </c>
      <c r="K214" s="365" t="str">
        <f t="shared" si="90"/>
        <v/>
      </c>
    </row>
    <row r="215" spans="1:11" hidden="1" x14ac:dyDescent="0.25">
      <c r="A215" s="383"/>
      <c r="B215" s="372"/>
      <c r="C215" s="372"/>
      <c r="D215" s="372"/>
      <c r="K215" s="365" t="str">
        <f t="shared" si="90"/>
        <v/>
      </c>
    </row>
    <row r="216" spans="1:11" hidden="1" x14ac:dyDescent="0.25">
      <c r="A216" s="415" t="s">
        <v>218</v>
      </c>
      <c r="B216" s="378"/>
      <c r="C216" s="378"/>
      <c r="D216" s="378"/>
      <c r="K216" s="365" t="str">
        <f t="shared" si="90"/>
        <v/>
      </c>
    </row>
    <row r="217" spans="1:11" hidden="1" x14ac:dyDescent="0.25">
      <c r="A217" s="459" t="s">
        <v>219</v>
      </c>
      <c r="B217" s="459"/>
      <c r="C217" s="459"/>
      <c r="D217" s="459"/>
      <c r="K217" s="365" t="str">
        <f t="shared" si="90"/>
        <v/>
      </c>
    </row>
    <row r="218" spans="1:11" ht="31.5" hidden="1" x14ac:dyDescent="0.25">
      <c r="A218" s="385" t="s">
        <v>111</v>
      </c>
      <c r="B218" s="385" t="s">
        <v>167</v>
      </c>
      <c r="C218" s="460" t="e">
        <f>CONCATENATE("Стоимость  согласно сметной документации (руб.) в текущих ценах по состоянию на ",VLOOKUP($F$16,таблица,5,0)," г.")</f>
        <v>#N/A</v>
      </c>
      <c r="D218" s="461"/>
      <c r="I218" s="386" t="e">
        <f>C218</f>
        <v>#N/A</v>
      </c>
      <c r="K218" s="365" t="str">
        <f t="shared" si="90"/>
        <v/>
      </c>
    </row>
    <row r="219" spans="1:11" hidden="1" x14ac:dyDescent="0.25">
      <c r="A219" s="389">
        <v>1</v>
      </c>
      <c r="B219" s="390" t="s">
        <v>68</v>
      </c>
      <c r="C219" s="455" t="e">
        <f>VLOOKUP($F$16,таблица,10,0)</f>
        <v>#N/A</v>
      </c>
      <c r="D219" s="456"/>
      <c r="K219" s="365" t="str">
        <f t="shared" si="90"/>
        <v/>
      </c>
    </row>
    <row r="220" spans="1:11" hidden="1" x14ac:dyDescent="0.25">
      <c r="A220" s="389">
        <v>2</v>
      </c>
      <c r="B220" s="390" t="s">
        <v>58</v>
      </c>
      <c r="C220" s="455" t="e">
        <f>VLOOKUP($F$16,таблица,11,0)</f>
        <v>#N/A</v>
      </c>
      <c r="D220" s="456"/>
      <c r="K220" s="365" t="str">
        <f t="shared" si="90"/>
        <v/>
      </c>
    </row>
    <row r="221" spans="1:11" ht="31.5" hidden="1" x14ac:dyDescent="0.25">
      <c r="A221" s="389">
        <v>3</v>
      </c>
      <c r="B221" s="390" t="s">
        <v>8</v>
      </c>
      <c r="C221" s="455" t="e">
        <f>VLOOKUP($F$16,таблица,12,0)</f>
        <v>#N/A</v>
      </c>
      <c r="D221" s="456"/>
      <c r="K221" s="365" t="str">
        <f t="shared" si="90"/>
        <v/>
      </c>
    </row>
    <row r="222" spans="1:11" hidden="1" x14ac:dyDescent="0.25">
      <c r="A222" s="389">
        <v>4</v>
      </c>
      <c r="B222" s="390" t="s">
        <v>59</v>
      </c>
      <c r="C222" s="455" t="e">
        <f>VLOOKUP($F$16,таблица,13,0)</f>
        <v>#N/A</v>
      </c>
      <c r="D222" s="456"/>
      <c r="K222" s="365" t="str">
        <f t="shared" si="90"/>
        <v/>
      </c>
    </row>
    <row r="223" spans="1:11" hidden="1" x14ac:dyDescent="0.25">
      <c r="A223" s="389">
        <v>5</v>
      </c>
      <c r="B223" s="390" t="s">
        <v>14</v>
      </c>
      <c r="C223" s="455" t="e">
        <f>VLOOKUP($F$16,таблица,14,0)</f>
        <v>#N/A</v>
      </c>
      <c r="D223" s="456"/>
      <c r="K223" s="365" t="str">
        <f t="shared" si="90"/>
        <v/>
      </c>
    </row>
    <row r="224" spans="1:11" hidden="1" x14ac:dyDescent="0.25">
      <c r="A224" s="389">
        <v>6</v>
      </c>
      <c r="B224" s="390" t="s">
        <v>23</v>
      </c>
      <c r="C224" s="455" t="e">
        <f>VLOOKUP($F$16,таблица,18,0)</f>
        <v>#N/A</v>
      </c>
      <c r="D224" s="456"/>
      <c r="K224" s="365" t="str">
        <f t="shared" si="90"/>
        <v/>
      </c>
    </row>
    <row r="225" spans="1:11" hidden="1" x14ac:dyDescent="0.25">
      <c r="A225" s="389">
        <v>7</v>
      </c>
      <c r="B225" s="390" t="s">
        <v>156</v>
      </c>
      <c r="C225" s="455" t="e">
        <f>VLOOKUP($F$16,таблица,19,0)+VLOOKUP($F$16,таблица,21,0)+VLOOKUP($F$16,таблица,22,0)+VLOOKUP($F$16,таблица,23,0)+VLOOKUP($F$16,таблица,24,0)+VLOOKUP($F$16,таблица,25,0)+VLOOKUP($F$16,таблица,26,0)</f>
        <v>#N/A</v>
      </c>
      <c r="D225" s="456"/>
      <c r="K225" s="365" t="str">
        <f t="shared" si="90"/>
        <v/>
      </c>
    </row>
    <row r="226" spans="1:11" hidden="1" x14ac:dyDescent="0.25">
      <c r="A226" s="389">
        <v>8</v>
      </c>
      <c r="B226" s="390" t="s">
        <v>101</v>
      </c>
      <c r="C226" s="455" t="e">
        <f>VLOOKUP($F$16,таблица,31,0)</f>
        <v>#N/A</v>
      </c>
      <c r="D226" s="456"/>
      <c r="K226" s="365" t="str">
        <f t="shared" si="90"/>
        <v/>
      </c>
    </row>
    <row r="227" spans="1:11" hidden="1" x14ac:dyDescent="0.25">
      <c r="A227" s="389">
        <v>9</v>
      </c>
      <c r="B227" s="390" t="s">
        <v>241</v>
      </c>
      <c r="C227" s="455" t="e">
        <f>SUM(C219:D226)</f>
        <v>#N/A</v>
      </c>
      <c r="D227" s="456"/>
      <c r="K227" s="365" t="str">
        <f t="shared" si="90"/>
        <v/>
      </c>
    </row>
    <row r="228" spans="1:11" hidden="1" x14ac:dyDescent="0.25">
      <c r="A228" s="464" t="s">
        <v>231</v>
      </c>
      <c r="B228" s="464"/>
      <c r="C228" s="464"/>
      <c r="D228" s="464"/>
      <c r="K228" s="365" t="str">
        <f t="shared" si="90"/>
        <v/>
      </c>
    </row>
    <row r="229" spans="1:11" ht="31.5" hidden="1" x14ac:dyDescent="0.25">
      <c r="A229" s="392" t="s">
        <v>111</v>
      </c>
      <c r="B229" s="385" t="s">
        <v>36</v>
      </c>
      <c r="C229" s="385" t="s">
        <v>221</v>
      </c>
      <c r="D229" s="385" t="s">
        <v>168</v>
      </c>
      <c r="K229" s="365" t="str">
        <f t="shared" si="90"/>
        <v/>
      </c>
    </row>
    <row r="230" spans="1:11" hidden="1" x14ac:dyDescent="0.25">
      <c r="A230" s="389">
        <v>10</v>
      </c>
      <c r="B230" s="389" t="e">
        <f>VLOOKUP((VLOOKUP($F$16,таблица,8,0)),рем_содер,2,0)</f>
        <v>#N/A</v>
      </c>
      <c r="C230" s="389"/>
      <c r="D230" s="390"/>
      <c r="K230" s="365" t="str">
        <f t="shared" si="90"/>
        <v/>
      </c>
    </row>
    <row r="231" spans="1:11" hidden="1" x14ac:dyDescent="0.25">
      <c r="A231" s="389" t="e">
        <f>IF(D231=0,0,A230+1)</f>
        <v>#N/A</v>
      </c>
      <c r="B231" s="390" t="e">
        <f>CONCATENATE("2015 г. (",CHOOSE(VLOOKUP(F$16,таблица,63,0),"Январь","Февраль","Март","Апрель","Май","Июнь","Июль","Август","Сентябрь","Октябрь","Ноябрь","Декабрь")," - ",CHOOSE(VLOOKUP(F$16,таблица,64,0),"Январь","Февраль","Март","Апрель","Май","Июнь","Июль","Август","Сентябрь","Октябрь","Ноябрь","Декабрь"),")")</f>
        <v>#N/A</v>
      </c>
      <c r="C231" s="389" t="s">
        <v>222</v>
      </c>
      <c r="D231" s="417" t="e">
        <f>IF(D233=0,0,VLOOKUP($F$16,таблица,69,0)*100+100)</f>
        <v>#N/A</v>
      </c>
      <c r="K231" s="365" t="e">
        <f>IF(D231=0,"",1)</f>
        <v>#N/A</v>
      </c>
    </row>
    <row r="232" spans="1:11" hidden="1" x14ac:dyDescent="0.25">
      <c r="A232" s="389" t="e">
        <f>IF(D232=0,0,IF(D231=0,A230+1,A231+1))</f>
        <v>#N/A</v>
      </c>
      <c r="B232" s="390" t="e">
        <f>CONCATENATE("2016 г. (",CHOOSE(VLOOKUP(F$16,таблица,65,0),"Январь","Февраль","Март","Апрель","Май","Июнь","Июль","Август","Сентябрь","Октябрь","Ноябрь","Декабрь")," - ",CHOOSE(VLOOKUP(F$16,таблица,66,0),"Январь","Февраль","Март","Апрель","Май","Июнь","Июль","Август","Сентябрь","Октябрь","Ноябрь","Декабрь"),")")</f>
        <v>#N/A</v>
      </c>
      <c r="C232" s="389" t="s">
        <v>222</v>
      </c>
      <c r="D232" s="417" t="e">
        <f>IF(D234=0,0,VLOOKUP($F$16,таблица,70,0)*100+100)</f>
        <v>#N/A</v>
      </c>
      <c r="K232" s="365" t="e">
        <f t="shared" ref="K232:K234" si="91">IF(D232=0,"",1)</f>
        <v>#N/A</v>
      </c>
    </row>
    <row r="233" spans="1:11" hidden="1" x14ac:dyDescent="0.25">
      <c r="A233" s="389" t="e">
        <f>IF(D233=0,0,IF(D232=0,A231+1,A232+1))</f>
        <v>#N/A</v>
      </c>
      <c r="B233" s="390" t="s">
        <v>223</v>
      </c>
      <c r="C233" s="389" t="s">
        <v>224</v>
      </c>
      <c r="D233" s="394" t="e">
        <f>VLOOKUP($F$16,таблица,46,0)</f>
        <v>#N/A</v>
      </c>
      <c r="K233" s="365" t="e">
        <f t="shared" si="91"/>
        <v>#N/A</v>
      </c>
    </row>
    <row r="234" spans="1:11" hidden="1" x14ac:dyDescent="0.25">
      <c r="A234" s="389" t="e">
        <f>IF(D234=0,0,IF(D233=0,A232+1,A233+1))</f>
        <v>#N/A</v>
      </c>
      <c r="B234" s="390" t="s">
        <v>351</v>
      </c>
      <c r="C234" s="389" t="s">
        <v>224</v>
      </c>
      <c r="D234" s="394" t="e">
        <f>VLOOKUP($F$16,таблица,56,0)</f>
        <v>#N/A</v>
      </c>
      <c r="K234" s="365" t="e">
        <f t="shared" si="91"/>
        <v>#N/A</v>
      </c>
    </row>
    <row r="235" spans="1:11" hidden="1" x14ac:dyDescent="0.25">
      <c r="A235" s="464" t="s">
        <v>225</v>
      </c>
      <c r="B235" s="464"/>
      <c r="C235" s="464"/>
      <c r="D235" s="464"/>
      <c r="K235" s="365" t="str">
        <f>IF($F$16=0,"",1)</f>
        <v/>
      </c>
    </row>
    <row r="236" spans="1:11" ht="31.5" hidden="1" x14ac:dyDescent="0.25">
      <c r="A236" s="389" t="e">
        <f>IF(D236=0,0,IF(D234=0,IF(D233=0,A230+1,A233+1),A234+1))</f>
        <v>#N/A</v>
      </c>
      <c r="B236" s="395" t="s">
        <v>275</v>
      </c>
      <c r="C236" s="389" t="s">
        <v>224</v>
      </c>
      <c r="D236" s="394" t="e">
        <f>SUM(VLOOKUP($F$16,таблица,41,0),D233)</f>
        <v>#N/A</v>
      </c>
      <c r="E236" s="365"/>
      <c r="K236" s="365" t="e">
        <f t="shared" ref="K236:K242" si="92">IF(D236=0,"",1)</f>
        <v>#N/A</v>
      </c>
    </row>
    <row r="237" spans="1:11" hidden="1" x14ac:dyDescent="0.25">
      <c r="A237" s="389" t="e">
        <f>IF(D237=0,0,A236+1)</f>
        <v>#N/A</v>
      </c>
      <c r="B237" s="395" t="s">
        <v>227</v>
      </c>
      <c r="C237" s="389" t="s">
        <v>224</v>
      </c>
      <c r="D237" s="394" t="e">
        <f>VLOOKUP($F$16,таблица,51,0)</f>
        <v>#N/A</v>
      </c>
      <c r="E237" s="365"/>
      <c r="K237" s="365" t="e">
        <f t="shared" si="92"/>
        <v>#N/A</v>
      </c>
    </row>
    <row r="238" spans="1:11" hidden="1" x14ac:dyDescent="0.25">
      <c r="A238" s="389" t="e">
        <f>IF(D238=0,0,A237+1)</f>
        <v>#N/A</v>
      </c>
      <c r="B238" s="395" t="s">
        <v>274</v>
      </c>
      <c r="C238" s="389" t="s">
        <v>224</v>
      </c>
      <c r="D238" s="397" t="e">
        <f>SUM(D236:D237)</f>
        <v>#N/A</v>
      </c>
      <c r="E238" s="391" t="e">
        <f>VLOOKUP($F$16,таблица,71,0)</f>
        <v>#N/A</v>
      </c>
      <c r="K238" s="365" t="e">
        <f t="shared" si="92"/>
        <v>#N/A</v>
      </c>
    </row>
    <row r="239" spans="1:11" ht="31.5" hidden="1" x14ac:dyDescent="0.25">
      <c r="A239" s="389" t="e">
        <f>IF(D239=0,0,IF(D238=0,IF(D234=0,A230+1,A234+1),A238+1))</f>
        <v>#N/A</v>
      </c>
      <c r="B239" s="395" t="s">
        <v>349</v>
      </c>
      <c r="C239" s="389" t="s">
        <v>224</v>
      </c>
      <c r="D239" s="394" t="e">
        <f>VLOOKUP($F$16,таблица,36,0)-VLOOKUP($F$16,таблица,41,0)+D234</f>
        <v>#N/A</v>
      </c>
      <c r="K239" s="365" t="e">
        <f t="shared" si="92"/>
        <v>#N/A</v>
      </c>
    </row>
    <row r="240" spans="1:11" hidden="1" x14ac:dyDescent="0.25">
      <c r="A240" s="389" t="e">
        <f>IF(D240=0,0,A239+1)</f>
        <v>#N/A</v>
      </c>
      <c r="B240" s="395" t="s">
        <v>227</v>
      </c>
      <c r="C240" s="389" t="s">
        <v>224</v>
      </c>
      <c r="D240" s="394" t="e">
        <f>VLOOKUP($F$16,таблица,61,0)</f>
        <v>#N/A</v>
      </c>
      <c r="K240" s="365" t="e">
        <f t="shared" si="92"/>
        <v>#N/A</v>
      </c>
    </row>
    <row r="241" spans="1:11" hidden="1" x14ac:dyDescent="0.25">
      <c r="A241" s="389" t="e">
        <f>IF(D241=0,0,A240+1)</f>
        <v>#N/A</v>
      </c>
      <c r="B241" s="395" t="s">
        <v>350</v>
      </c>
      <c r="C241" s="389" t="s">
        <v>224</v>
      </c>
      <c r="D241" s="397" t="e">
        <f>SUM(D239:D240)</f>
        <v>#N/A</v>
      </c>
      <c r="E241" s="391" t="e">
        <f>VLOOKUP($F$16,таблица,72,0)</f>
        <v>#N/A</v>
      </c>
      <c r="K241" s="365" t="e">
        <f t="shared" si="92"/>
        <v>#N/A</v>
      </c>
    </row>
    <row r="242" spans="1:11" hidden="1" x14ac:dyDescent="0.25">
      <c r="A242" s="389" t="e">
        <f>IF(D242=0,0,A241+1)</f>
        <v>#N/A</v>
      </c>
      <c r="B242" s="395" t="s">
        <v>226</v>
      </c>
      <c r="C242" s="389" t="s">
        <v>224</v>
      </c>
      <c r="D242" s="397" t="e">
        <f>IF(OR(D238=0,D241=0),0,D241+D238)</f>
        <v>#N/A</v>
      </c>
      <c r="E242" s="391" t="e">
        <f>VLOOKUP($F$16,таблица,62,0)</f>
        <v>#N/A</v>
      </c>
      <c r="K242" s="365" t="e">
        <f t="shared" si="92"/>
        <v>#N/A</v>
      </c>
    </row>
    <row r="243" spans="1:11" hidden="1" x14ac:dyDescent="0.25">
      <c r="A243" s="400"/>
      <c r="B243" s="400"/>
      <c r="C243" s="400"/>
      <c r="D243" s="401"/>
      <c r="K243" s="365" t="str">
        <f>IF($F$16=0,"",1)</f>
        <v/>
      </c>
    </row>
    <row r="244" spans="1:11" ht="47.25" hidden="1" customHeight="1" x14ac:dyDescent="0.25">
      <c r="A244" s="465" t="str">
        <f>'Анализ стоимости'!$I$58</f>
        <v>Начальник финансового отдела</v>
      </c>
      <c r="B244" s="466"/>
      <c r="C244" s="402"/>
      <c r="D244" s="403" t="str">
        <f>'Анализ стоимости'!$I$59</f>
        <v>А.Ю.Кашуба</v>
      </c>
      <c r="H244" s="405" t="str">
        <f>A244</f>
        <v>Начальник финансового отдела</v>
      </c>
      <c r="K244" s="365" t="str">
        <f>IF($F$16=0,"",1)</f>
        <v/>
      </c>
    </row>
    <row r="245" spans="1:11" hidden="1" x14ac:dyDescent="0.25">
      <c r="A245" s="407"/>
      <c r="B245" s="407"/>
      <c r="C245" s="407"/>
      <c r="D245" s="408"/>
      <c r="K245" s="365" t="str">
        <f>IF($F$16=0,"",1)</f>
        <v/>
      </c>
    </row>
    <row r="246" spans="1:11" hidden="1" x14ac:dyDescent="0.25">
      <c r="A246" s="462">
        <f ca="1">TODAY()</f>
        <v>42101</v>
      </c>
      <c r="B246" s="462"/>
      <c r="C246" s="371"/>
      <c r="D246" s="371"/>
      <c r="K246" s="365" t="str">
        <f>IF($F$16=0,"",1)</f>
        <v/>
      </c>
    </row>
    <row r="247" spans="1:11" hidden="1" x14ac:dyDescent="0.25">
      <c r="A247" s="463" t="s">
        <v>249</v>
      </c>
      <c r="B247" s="463"/>
      <c r="C247" s="463"/>
      <c r="D247" s="463"/>
      <c r="H247" s="369"/>
      <c r="I247" s="369"/>
      <c r="K247" s="365" t="str">
        <f t="shared" ref="K247:K264" si="93">IF($F$17=0,"",1)</f>
        <v/>
      </c>
    </row>
    <row r="248" spans="1:11" ht="47.25" hidden="1" customHeight="1" x14ac:dyDescent="0.2">
      <c r="A248" s="458" t="e">
        <f>CONCATENATE("Наименование объекта: ",VLOOKUP($F$17,таблица,9,0))</f>
        <v>#N/A</v>
      </c>
      <c r="B248" s="458"/>
      <c r="C248" s="458"/>
      <c r="D248" s="458"/>
      <c r="J248" s="414" t="e">
        <f>A248</f>
        <v>#N/A</v>
      </c>
      <c r="K248" s="365" t="str">
        <f t="shared" si="93"/>
        <v/>
      </c>
    </row>
    <row r="249" spans="1:11" hidden="1" x14ac:dyDescent="0.25">
      <c r="A249" s="383"/>
      <c r="B249" s="372"/>
      <c r="C249" s="372"/>
      <c r="D249" s="372"/>
      <c r="K249" s="365" t="str">
        <f t="shared" si="93"/>
        <v/>
      </c>
    </row>
    <row r="250" spans="1:11" hidden="1" x14ac:dyDescent="0.25">
      <c r="A250" s="415" t="s">
        <v>218</v>
      </c>
      <c r="B250" s="378"/>
      <c r="C250" s="378"/>
      <c r="D250" s="378"/>
      <c r="K250" s="365" t="str">
        <f t="shared" si="93"/>
        <v/>
      </c>
    </row>
    <row r="251" spans="1:11" hidden="1" x14ac:dyDescent="0.25">
      <c r="A251" s="459" t="s">
        <v>219</v>
      </c>
      <c r="B251" s="459"/>
      <c r="C251" s="459"/>
      <c r="D251" s="459"/>
      <c r="K251" s="365" t="str">
        <f t="shared" si="93"/>
        <v/>
      </c>
    </row>
    <row r="252" spans="1:11" ht="31.5" hidden="1" x14ac:dyDescent="0.25">
      <c r="A252" s="385" t="s">
        <v>111</v>
      </c>
      <c r="B252" s="385" t="s">
        <v>167</v>
      </c>
      <c r="C252" s="460" t="e">
        <f>CONCATENATE("Стоимость  согласно сметной документации (руб.) в текущих ценах по состоянию на ",VLOOKUP($F$17,таблица,5,0)," г.")</f>
        <v>#N/A</v>
      </c>
      <c r="D252" s="461"/>
      <c r="I252" s="386" t="e">
        <f>C252</f>
        <v>#N/A</v>
      </c>
      <c r="K252" s="365" t="str">
        <f t="shared" si="93"/>
        <v/>
      </c>
    </row>
    <row r="253" spans="1:11" hidden="1" x14ac:dyDescent="0.25">
      <c r="A253" s="389">
        <v>1</v>
      </c>
      <c r="B253" s="390" t="s">
        <v>68</v>
      </c>
      <c r="C253" s="455" t="e">
        <f>VLOOKUP($F$17,таблица,10,0)</f>
        <v>#N/A</v>
      </c>
      <c r="D253" s="456"/>
      <c r="K253" s="365" t="str">
        <f t="shared" si="93"/>
        <v/>
      </c>
    </row>
    <row r="254" spans="1:11" hidden="1" x14ac:dyDescent="0.25">
      <c r="A254" s="389">
        <v>2</v>
      </c>
      <c r="B254" s="390" t="s">
        <v>58</v>
      </c>
      <c r="C254" s="455" t="e">
        <f>VLOOKUP($F$17,таблица,11,0)</f>
        <v>#N/A</v>
      </c>
      <c r="D254" s="456"/>
      <c r="K254" s="365" t="str">
        <f t="shared" si="93"/>
        <v/>
      </c>
    </row>
    <row r="255" spans="1:11" ht="31.5" hidden="1" x14ac:dyDescent="0.25">
      <c r="A255" s="389">
        <v>3</v>
      </c>
      <c r="B255" s="390" t="s">
        <v>8</v>
      </c>
      <c r="C255" s="455" t="e">
        <f>VLOOKUP($F$17,таблица,12,0)</f>
        <v>#N/A</v>
      </c>
      <c r="D255" s="456"/>
      <c r="K255" s="365" t="str">
        <f t="shared" si="93"/>
        <v/>
      </c>
    </row>
    <row r="256" spans="1:11" hidden="1" x14ac:dyDescent="0.25">
      <c r="A256" s="389">
        <v>4</v>
      </c>
      <c r="B256" s="390" t="s">
        <v>59</v>
      </c>
      <c r="C256" s="455" t="e">
        <f>VLOOKUP($F$17,таблица,13,0)</f>
        <v>#N/A</v>
      </c>
      <c r="D256" s="456"/>
      <c r="K256" s="365" t="str">
        <f t="shared" si="93"/>
        <v/>
      </c>
    </row>
    <row r="257" spans="1:11" hidden="1" x14ac:dyDescent="0.25">
      <c r="A257" s="389">
        <v>5</v>
      </c>
      <c r="B257" s="390" t="s">
        <v>14</v>
      </c>
      <c r="C257" s="455" t="e">
        <f>VLOOKUP($F$17,таблица,14,0)</f>
        <v>#N/A</v>
      </c>
      <c r="D257" s="456"/>
      <c r="K257" s="365" t="str">
        <f t="shared" si="93"/>
        <v/>
      </c>
    </row>
    <row r="258" spans="1:11" hidden="1" x14ac:dyDescent="0.25">
      <c r="A258" s="389">
        <v>6</v>
      </c>
      <c r="B258" s="390" t="s">
        <v>23</v>
      </c>
      <c r="C258" s="455" t="e">
        <f>VLOOKUP($F$17,таблица,18,0)</f>
        <v>#N/A</v>
      </c>
      <c r="D258" s="456"/>
      <c r="K258" s="365" t="str">
        <f t="shared" si="93"/>
        <v/>
      </c>
    </row>
    <row r="259" spans="1:11" hidden="1" x14ac:dyDescent="0.25">
      <c r="A259" s="389">
        <v>7</v>
      </c>
      <c r="B259" s="390" t="s">
        <v>156</v>
      </c>
      <c r="C259" s="455" t="e">
        <f>VLOOKUP($F$17,таблица,19,0)+VLOOKUP($F$17,таблица,21,0)+VLOOKUP($F$17,таблица,22,0)+VLOOKUP($F$17,таблица,23,0)+VLOOKUP($F$17,таблица,24,0)+VLOOKUP($F$17,таблица,25,0)+VLOOKUP($F$17,таблица,26,0)</f>
        <v>#N/A</v>
      </c>
      <c r="D259" s="456"/>
      <c r="K259" s="365" t="str">
        <f t="shared" si="93"/>
        <v/>
      </c>
    </row>
    <row r="260" spans="1:11" hidden="1" x14ac:dyDescent="0.25">
      <c r="A260" s="389">
        <v>8</v>
      </c>
      <c r="B260" s="390" t="s">
        <v>101</v>
      </c>
      <c r="C260" s="455" t="e">
        <f>VLOOKUP($F$17,таблица,31,0)</f>
        <v>#N/A</v>
      </c>
      <c r="D260" s="456"/>
      <c r="K260" s="365" t="str">
        <f t="shared" si="93"/>
        <v/>
      </c>
    </row>
    <row r="261" spans="1:11" hidden="1" x14ac:dyDescent="0.25">
      <c r="A261" s="389">
        <v>9</v>
      </c>
      <c r="B261" s="390" t="s">
        <v>241</v>
      </c>
      <c r="C261" s="455" t="e">
        <f>SUM(C253:D260)</f>
        <v>#N/A</v>
      </c>
      <c r="D261" s="456"/>
      <c r="K261" s="365" t="str">
        <f t="shared" si="93"/>
        <v/>
      </c>
    </row>
    <row r="262" spans="1:11" hidden="1" x14ac:dyDescent="0.25">
      <c r="A262" s="464" t="s">
        <v>231</v>
      </c>
      <c r="B262" s="464"/>
      <c r="C262" s="464"/>
      <c r="D262" s="464"/>
      <c r="K262" s="365" t="str">
        <f t="shared" si="93"/>
        <v/>
      </c>
    </row>
    <row r="263" spans="1:11" ht="31.5" hidden="1" x14ac:dyDescent="0.25">
      <c r="A263" s="392" t="s">
        <v>111</v>
      </c>
      <c r="B263" s="385" t="s">
        <v>36</v>
      </c>
      <c r="C263" s="385" t="s">
        <v>221</v>
      </c>
      <c r="D263" s="385" t="s">
        <v>168</v>
      </c>
      <c r="K263" s="365" t="str">
        <f t="shared" si="93"/>
        <v/>
      </c>
    </row>
    <row r="264" spans="1:11" hidden="1" x14ac:dyDescent="0.25">
      <c r="A264" s="389">
        <v>10</v>
      </c>
      <c r="B264" s="389" t="e">
        <f>VLOOKUP((VLOOKUP($F$17,таблица,8,0)),рем_содер,2,0)</f>
        <v>#N/A</v>
      </c>
      <c r="C264" s="389"/>
      <c r="D264" s="390"/>
      <c r="K264" s="365" t="str">
        <f t="shared" si="93"/>
        <v/>
      </c>
    </row>
    <row r="265" spans="1:11" hidden="1" x14ac:dyDescent="0.25">
      <c r="A265" s="389" t="e">
        <f>IF(D265=0,0,A264+1)</f>
        <v>#N/A</v>
      </c>
      <c r="B265" s="390" t="e">
        <f>CONCATENATE("2015 г. (",CHOOSE(VLOOKUP(F$17,таблица,63,0),"Январь","Февраль","Март","Апрель","Май","Июнь","Июль","Август","Сентябрь","Октябрь","Ноябрь","Декабрь")," - ",CHOOSE(VLOOKUP(F$17,таблица,64,0),"Январь","Февраль","Март","Апрель","Май","Июнь","Июль","Август","Сентябрь","Октябрь","Ноябрь","Декабрь"),")")</f>
        <v>#N/A</v>
      </c>
      <c r="C265" s="389" t="s">
        <v>222</v>
      </c>
      <c r="D265" s="417" t="e">
        <f>IF(D267=0,0,VLOOKUP($F$17,таблица,69,0)*100+100)</f>
        <v>#N/A</v>
      </c>
      <c r="K265" s="365" t="e">
        <f>IF(D265=0,"",1)</f>
        <v>#N/A</v>
      </c>
    </row>
    <row r="266" spans="1:11" hidden="1" x14ac:dyDescent="0.25">
      <c r="A266" s="389" t="e">
        <f>IF(D266=0,0,IF(D265=0,A264+1,A265+1))</f>
        <v>#N/A</v>
      </c>
      <c r="B266" s="390" t="e">
        <f>CONCATENATE("2016 г. (",CHOOSE(VLOOKUP(F$17,таблица,65,0),"Январь","Февраль","Март","Апрель","Май","Июнь","Июль","Август","Сентябрь","Октябрь","Ноябрь","Декабрь")," - ",CHOOSE(VLOOKUP(F$17,таблица,66,0),"Январь","Февраль","Март","Апрель","Май","Июнь","Июль","Август","Сентябрь","Октябрь","Ноябрь","Декабрь"),")")</f>
        <v>#N/A</v>
      </c>
      <c r="C266" s="389" t="s">
        <v>222</v>
      </c>
      <c r="D266" s="417" t="e">
        <f>IF(D268=0,0,VLOOKUP($F$17,таблица,70,0)*100+100)</f>
        <v>#N/A</v>
      </c>
      <c r="K266" s="365" t="e">
        <f t="shared" ref="K266:K268" si="94">IF(D266=0,"",1)</f>
        <v>#N/A</v>
      </c>
    </row>
    <row r="267" spans="1:11" hidden="1" x14ac:dyDescent="0.25">
      <c r="A267" s="389" t="e">
        <f>IF(D267=0,0,IF(D266=0,A265+1,A266+1))</f>
        <v>#N/A</v>
      </c>
      <c r="B267" s="390" t="s">
        <v>223</v>
      </c>
      <c r="C267" s="389" t="s">
        <v>224</v>
      </c>
      <c r="D267" s="394" t="e">
        <f>VLOOKUP($F$17,таблица,46,0)</f>
        <v>#N/A</v>
      </c>
      <c r="K267" s="365" t="e">
        <f t="shared" si="94"/>
        <v>#N/A</v>
      </c>
    </row>
    <row r="268" spans="1:11" hidden="1" x14ac:dyDescent="0.25">
      <c r="A268" s="389" t="e">
        <f>IF(D268=0,0,IF(D267=0,A266+1,A267+1))</f>
        <v>#N/A</v>
      </c>
      <c r="B268" s="390" t="s">
        <v>351</v>
      </c>
      <c r="C268" s="389" t="s">
        <v>224</v>
      </c>
      <c r="D268" s="394" t="e">
        <f>VLOOKUP($F$17,таблица,56,0)</f>
        <v>#N/A</v>
      </c>
      <c r="K268" s="365" t="e">
        <f t="shared" si="94"/>
        <v>#N/A</v>
      </c>
    </row>
    <row r="269" spans="1:11" hidden="1" x14ac:dyDescent="0.25">
      <c r="A269" s="464" t="s">
        <v>225</v>
      </c>
      <c r="B269" s="464"/>
      <c r="C269" s="464"/>
      <c r="D269" s="464"/>
      <c r="K269" s="365" t="str">
        <f>IF($F$17=0,"",1)</f>
        <v/>
      </c>
    </row>
    <row r="270" spans="1:11" ht="31.5" hidden="1" x14ac:dyDescent="0.25">
      <c r="A270" s="389" t="e">
        <f>IF(D270=0,0,IF(D268=0,IF(D267=0,A264+1,A267+1),A268+1))</f>
        <v>#N/A</v>
      </c>
      <c r="B270" s="395" t="s">
        <v>275</v>
      </c>
      <c r="C270" s="389" t="s">
        <v>224</v>
      </c>
      <c r="D270" s="394" t="e">
        <f>SUM(VLOOKUP($F$17,таблица,41,0),D267)</f>
        <v>#N/A</v>
      </c>
      <c r="E270" s="365"/>
      <c r="K270" s="365" t="e">
        <f t="shared" ref="K270:K276" si="95">IF(D270=0,"",1)</f>
        <v>#N/A</v>
      </c>
    </row>
    <row r="271" spans="1:11" hidden="1" x14ac:dyDescent="0.25">
      <c r="A271" s="389" t="e">
        <f>IF(D271=0,0,A270+1)</f>
        <v>#N/A</v>
      </c>
      <c r="B271" s="395" t="s">
        <v>227</v>
      </c>
      <c r="C271" s="389" t="s">
        <v>224</v>
      </c>
      <c r="D271" s="394" t="e">
        <f>VLOOKUP($F$17,таблица,51,0)</f>
        <v>#N/A</v>
      </c>
      <c r="E271" s="365"/>
      <c r="K271" s="365" t="e">
        <f t="shared" si="95"/>
        <v>#N/A</v>
      </c>
    </row>
    <row r="272" spans="1:11" hidden="1" x14ac:dyDescent="0.25">
      <c r="A272" s="389" t="e">
        <f>IF(D272=0,0,A271+1)</f>
        <v>#N/A</v>
      </c>
      <c r="B272" s="395" t="s">
        <v>274</v>
      </c>
      <c r="C272" s="389" t="s">
        <v>224</v>
      </c>
      <c r="D272" s="397" t="e">
        <f>SUM(D270:D271)</f>
        <v>#N/A</v>
      </c>
      <c r="E272" s="391" t="e">
        <f>VLOOKUP($F$17,таблица,71,0)</f>
        <v>#N/A</v>
      </c>
      <c r="K272" s="365" t="e">
        <f t="shared" si="95"/>
        <v>#N/A</v>
      </c>
    </row>
    <row r="273" spans="1:11" ht="31.5" hidden="1" x14ac:dyDescent="0.25">
      <c r="A273" s="389" t="e">
        <f>IF(D273=0,0,IF(D272=0,IF(D268=0,A264+1,A268+1),A272+1))</f>
        <v>#N/A</v>
      </c>
      <c r="B273" s="395" t="s">
        <v>349</v>
      </c>
      <c r="C273" s="389" t="s">
        <v>224</v>
      </c>
      <c r="D273" s="394" t="e">
        <f>VLOOKUP($F$17,таблица,36,0)-VLOOKUP($F$17,таблица,41,0)+D268</f>
        <v>#N/A</v>
      </c>
      <c r="K273" s="365" t="e">
        <f t="shared" si="95"/>
        <v>#N/A</v>
      </c>
    </row>
    <row r="274" spans="1:11" hidden="1" x14ac:dyDescent="0.25">
      <c r="A274" s="389" t="e">
        <f>IF(D274=0,0,A273+1)</f>
        <v>#N/A</v>
      </c>
      <c r="B274" s="395" t="s">
        <v>227</v>
      </c>
      <c r="C274" s="389" t="s">
        <v>224</v>
      </c>
      <c r="D274" s="394" t="e">
        <f>VLOOKUP($F$17,таблица,61,0)</f>
        <v>#N/A</v>
      </c>
      <c r="K274" s="365" t="e">
        <f t="shared" si="95"/>
        <v>#N/A</v>
      </c>
    </row>
    <row r="275" spans="1:11" hidden="1" x14ac:dyDescent="0.25">
      <c r="A275" s="389" t="e">
        <f>IF(D275=0,0,A274+1)</f>
        <v>#N/A</v>
      </c>
      <c r="B275" s="395" t="s">
        <v>350</v>
      </c>
      <c r="C275" s="389" t="s">
        <v>224</v>
      </c>
      <c r="D275" s="397" t="e">
        <f>SUM(D273:D274)</f>
        <v>#N/A</v>
      </c>
      <c r="E275" s="391" t="e">
        <f>VLOOKUP($F$17,таблица,72,0)</f>
        <v>#N/A</v>
      </c>
      <c r="K275" s="365" t="e">
        <f t="shared" si="95"/>
        <v>#N/A</v>
      </c>
    </row>
    <row r="276" spans="1:11" hidden="1" x14ac:dyDescent="0.25">
      <c r="A276" s="389" t="e">
        <f>IF(D276=0,0,A275+1)</f>
        <v>#N/A</v>
      </c>
      <c r="B276" s="395" t="s">
        <v>226</v>
      </c>
      <c r="C276" s="389" t="s">
        <v>224</v>
      </c>
      <c r="D276" s="397" t="e">
        <f>IF(OR(D272=0,D275=0),0,D275+D272)</f>
        <v>#N/A</v>
      </c>
      <c r="E276" s="391" t="e">
        <f>VLOOKUP($F$17,таблица,62,0)</f>
        <v>#N/A</v>
      </c>
      <c r="K276" s="365" t="e">
        <f t="shared" si="95"/>
        <v>#N/A</v>
      </c>
    </row>
    <row r="277" spans="1:11" hidden="1" x14ac:dyDescent="0.25">
      <c r="A277" s="400"/>
      <c r="B277" s="400"/>
      <c r="C277" s="400"/>
      <c r="D277" s="401"/>
      <c r="K277" s="365" t="str">
        <f>IF($F$17=0,"",1)</f>
        <v/>
      </c>
    </row>
    <row r="278" spans="1:11" ht="47.25" hidden="1" customHeight="1" x14ac:dyDescent="0.25">
      <c r="A278" s="465" t="str">
        <f>'Анализ стоимости'!$I$58</f>
        <v>Начальник финансового отдела</v>
      </c>
      <c r="B278" s="466"/>
      <c r="C278" s="402"/>
      <c r="D278" s="403" t="str">
        <f>'Анализ стоимости'!$I$59</f>
        <v>А.Ю.Кашуба</v>
      </c>
      <c r="H278" s="405" t="str">
        <f>A278</f>
        <v>Начальник финансового отдела</v>
      </c>
      <c r="K278" s="365" t="str">
        <f>IF($F$17=0,"",1)</f>
        <v/>
      </c>
    </row>
    <row r="279" spans="1:11" hidden="1" x14ac:dyDescent="0.25">
      <c r="A279" s="407"/>
      <c r="B279" s="407"/>
      <c r="C279" s="407"/>
      <c r="D279" s="408"/>
      <c r="K279" s="365" t="str">
        <f>IF($F$17=0,"",1)</f>
        <v/>
      </c>
    </row>
    <row r="280" spans="1:11" hidden="1" x14ac:dyDescent="0.25">
      <c r="A280" s="462">
        <f ca="1">TODAY()</f>
        <v>42101</v>
      </c>
      <c r="B280" s="462"/>
      <c r="C280" s="371"/>
      <c r="D280" s="371"/>
      <c r="K280" s="365" t="str">
        <f>IF($F$17=0,"",1)</f>
        <v/>
      </c>
    </row>
    <row r="281" spans="1:11" hidden="1" x14ac:dyDescent="0.25">
      <c r="A281" s="463" t="s">
        <v>250</v>
      </c>
      <c r="B281" s="463"/>
      <c r="C281" s="463"/>
      <c r="D281" s="463"/>
      <c r="H281" s="369"/>
      <c r="I281" s="369"/>
      <c r="K281" s="365" t="str">
        <f t="shared" ref="K281:K298" si="96">IF($F$18=0,"",1)</f>
        <v/>
      </c>
    </row>
    <row r="282" spans="1:11" ht="47.25" hidden="1" customHeight="1" x14ac:dyDescent="0.2">
      <c r="A282" s="458" t="e">
        <f>CONCATENATE("Наименование объекта: ",VLOOKUP($F$18,таблица,9,0))</f>
        <v>#N/A</v>
      </c>
      <c r="B282" s="458"/>
      <c r="C282" s="458"/>
      <c r="D282" s="458"/>
      <c r="J282" s="414" t="e">
        <f>A282</f>
        <v>#N/A</v>
      </c>
      <c r="K282" s="365" t="str">
        <f t="shared" si="96"/>
        <v/>
      </c>
    </row>
    <row r="283" spans="1:11" hidden="1" x14ac:dyDescent="0.25">
      <c r="A283" s="383"/>
      <c r="B283" s="372"/>
      <c r="C283" s="372"/>
      <c r="D283" s="372"/>
      <c r="K283" s="365" t="str">
        <f t="shared" si="96"/>
        <v/>
      </c>
    </row>
    <row r="284" spans="1:11" hidden="1" x14ac:dyDescent="0.25">
      <c r="A284" s="415" t="s">
        <v>218</v>
      </c>
      <c r="B284" s="378"/>
      <c r="C284" s="378"/>
      <c r="D284" s="378"/>
      <c r="K284" s="365" t="str">
        <f t="shared" si="96"/>
        <v/>
      </c>
    </row>
    <row r="285" spans="1:11" hidden="1" x14ac:dyDescent="0.25">
      <c r="A285" s="459" t="s">
        <v>219</v>
      </c>
      <c r="B285" s="459"/>
      <c r="C285" s="459"/>
      <c r="D285" s="459"/>
      <c r="K285" s="365" t="str">
        <f t="shared" si="96"/>
        <v/>
      </c>
    </row>
    <row r="286" spans="1:11" ht="31.5" hidden="1" x14ac:dyDescent="0.25">
      <c r="A286" s="385" t="s">
        <v>111</v>
      </c>
      <c r="B286" s="385" t="s">
        <v>167</v>
      </c>
      <c r="C286" s="460" t="e">
        <f>CONCATENATE("Стоимость  согласно сметной документации (руб.) в текущих ценах по состоянию на ",VLOOKUP($F$18,таблица,5,0)," г.")</f>
        <v>#N/A</v>
      </c>
      <c r="D286" s="461"/>
      <c r="I286" s="386" t="e">
        <f>C286</f>
        <v>#N/A</v>
      </c>
      <c r="K286" s="365" t="str">
        <f t="shared" si="96"/>
        <v/>
      </c>
    </row>
    <row r="287" spans="1:11" hidden="1" x14ac:dyDescent="0.25">
      <c r="A287" s="389">
        <v>1</v>
      </c>
      <c r="B287" s="390" t="s">
        <v>68</v>
      </c>
      <c r="C287" s="455" t="e">
        <f>VLOOKUP($F$18,таблица,10,0)</f>
        <v>#N/A</v>
      </c>
      <c r="D287" s="456"/>
      <c r="K287" s="365" t="str">
        <f t="shared" si="96"/>
        <v/>
      </c>
    </row>
    <row r="288" spans="1:11" hidden="1" x14ac:dyDescent="0.25">
      <c r="A288" s="389">
        <v>2</v>
      </c>
      <c r="B288" s="390" t="s">
        <v>58</v>
      </c>
      <c r="C288" s="455" t="e">
        <f>VLOOKUP($F$18,таблица,11,0)</f>
        <v>#N/A</v>
      </c>
      <c r="D288" s="456"/>
      <c r="K288" s="365" t="str">
        <f t="shared" si="96"/>
        <v/>
      </c>
    </row>
    <row r="289" spans="1:11" ht="31.5" hidden="1" x14ac:dyDescent="0.25">
      <c r="A289" s="389">
        <v>3</v>
      </c>
      <c r="B289" s="390" t="s">
        <v>8</v>
      </c>
      <c r="C289" s="455" t="e">
        <f>VLOOKUP($F$18,таблица,12,0)</f>
        <v>#N/A</v>
      </c>
      <c r="D289" s="456"/>
      <c r="K289" s="365" t="str">
        <f t="shared" si="96"/>
        <v/>
      </c>
    </row>
    <row r="290" spans="1:11" hidden="1" x14ac:dyDescent="0.25">
      <c r="A290" s="389">
        <v>4</v>
      </c>
      <c r="B290" s="390" t="s">
        <v>59</v>
      </c>
      <c r="C290" s="455" t="e">
        <f>VLOOKUP($F$18,таблица,13,0)</f>
        <v>#N/A</v>
      </c>
      <c r="D290" s="456"/>
      <c r="K290" s="365" t="str">
        <f t="shared" si="96"/>
        <v/>
      </c>
    </row>
    <row r="291" spans="1:11" hidden="1" x14ac:dyDescent="0.25">
      <c r="A291" s="389">
        <v>5</v>
      </c>
      <c r="B291" s="390" t="s">
        <v>14</v>
      </c>
      <c r="C291" s="455" t="e">
        <f>VLOOKUP($F$18,таблица,14,0)</f>
        <v>#N/A</v>
      </c>
      <c r="D291" s="456"/>
      <c r="K291" s="365" t="str">
        <f t="shared" si="96"/>
        <v/>
      </c>
    </row>
    <row r="292" spans="1:11" hidden="1" x14ac:dyDescent="0.25">
      <c r="A292" s="389">
        <v>6</v>
      </c>
      <c r="B292" s="390" t="s">
        <v>23</v>
      </c>
      <c r="C292" s="455" t="e">
        <f>VLOOKUP($F$18,таблица,18,0)</f>
        <v>#N/A</v>
      </c>
      <c r="D292" s="456"/>
      <c r="K292" s="365" t="str">
        <f t="shared" si="96"/>
        <v/>
      </c>
    </row>
    <row r="293" spans="1:11" hidden="1" x14ac:dyDescent="0.25">
      <c r="A293" s="389">
        <v>7</v>
      </c>
      <c r="B293" s="390" t="s">
        <v>156</v>
      </c>
      <c r="C293" s="455" t="e">
        <f>VLOOKUP($F$18,таблица,19,0)+VLOOKUP($F$18,таблица,21,0)+VLOOKUP($F$18,таблица,22,0)+VLOOKUP($F$18,таблица,23,0)+VLOOKUP($F$18,таблица,24,0)+VLOOKUP($F$18,таблица,25,0)+VLOOKUP($F$18,таблица,26,0)</f>
        <v>#N/A</v>
      </c>
      <c r="D293" s="456"/>
      <c r="K293" s="365" t="str">
        <f t="shared" si="96"/>
        <v/>
      </c>
    </row>
    <row r="294" spans="1:11" hidden="1" x14ac:dyDescent="0.25">
      <c r="A294" s="389">
        <v>8</v>
      </c>
      <c r="B294" s="390" t="s">
        <v>101</v>
      </c>
      <c r="C294" s="455" t="e">
        <f>VLOOKUP($F$18,таблица,31,0)</f>
        <v>#N/A</v>
      </c>
      <c r="D294" s="456"/>
      <c r="K294" s="365" t="str">
        <f t="shared" si="96"/>
        <v/>
      </c>
    </row>
    <row r="295" spans="1:11" hidden="1" x14ac:dyDescent="0.25">
      <c r="A295" s="389">
        <v>9</v>
      </c>
      <c r="B295" s="390" t="s">
        <v>241</v>
      </c>
      <c r="C295" s="455" t="e">
        <f>SUM(C287:D294)</f>
        <v>#N/A</v>
      </c>
      <c r="D295" s="456"/>
      <c r="K295" s="365" t="str">
        <f t="shared" si="96"/>
        <v/>
      </c>
    </row>
    <row r="296" spans="1:11" hidden="1" x14ac:dyDescent="0.25">
      <c r="A296" s="464" t="s">
        <v>231</v>
      </c>
      <c r="B296" s="464"/>
      <c r="C296" s="464"/>
      <c r="D296" s="464"/>
      <c r="K296" s="365" t="str">
        <f t="shared" si="96"/>
        <v/>
      </c>
    </row>
    <row r="297" spans="1:11" ht="31.5" hidden="1" x14ac:dyDescent="0.25">
      <c r="A297" s="392" t="s">
        <v>111</v>
      </c>
      <c r="B297" s="385" t="s">
        <v>36</v>
      </c>
      <c r="C297" s="385" t="s">
        <v>221</v>
      </c>
      <c r="D297" s="385" t="s">
        <v>168</v>
      </c>
      <c r="K297" s="365" t="str">
        <f t="shared" si="96"/>
        <v/>
      </c>
    </row>
    <row r="298" spans="1:11" hidden="1" x14ac:dyDescent="0.25">
      <c r="A298" s="389">
        <v>10</v>
      </c>
      <c r="B298" s="389" t="e">
        <f>VLOOKUP((VLOOKUP($F$18,таблица,8,0)),рем_содер,2,0)</f>
        <v>#N/A</v>
      </c>
      <c r="C298" s="389"/>
      <c r="D298" s="390"/>
      <c r="K298" s="365" t="str">
        <f t="shared" si="96"/>
        <v/>
      </c>
    </row>
    <row r="299" spans="1:11" hidden="1" x14ac:dyDescent="0.25">
      <c r="A299" s="389" t="e">
        <f>IF(D299=0,0,A298+1)</f>
        <v>#N/A</v>
      </c>
      <c r="B299" s="390" t="e">
        <f>CONCATENATE("2015 г. (",CHOOSE(VLOOKUP(F$18,таблица,63,0),"Январь","Февраль","Март","Апрель","Май","Июнь","Июль","Август","Сентябрь","Октябрь","Ноябрь","Декабрь")," - ",CHOOSE(VLOOKUP(F$18,таблица,64,0),"Январь","Февраль","Март","Апрель","Май","Июнь","Июль","Август","Сентябрь","Октябрь","Ноябрь","Декабрь"),")")</f>
        <v>#N/A</v>
      </c>
      <c r="C299" s="389" t="s">
        <v>222</v>
      </c>
      <c r="D299" s="417" t="e">
        <f>IF(D301=0,0,VLOOKUP($F$18,таблица,69,0)*100+100)</f>
        <v>#N/A</v>
      </c>
      <c r="K299" s="365" t="e">
        <f>IF(D299=0,"",1)</f>
        <v>#N/A</v>
      </c>
    </row>
    <row r="300" spans="1:11" hidden="1" x14ac:dyDescent="0.25">
      <c r="A300" s="389" t="e">
        <f>IF(D300=0,0,IF(D299=0,A298+1,A299+1))</f>
        <v>#N/A</v>
      </c>
      <c r="B300" s="390" t="e">
        <f>CONCATENATE("2016 г. (",CHOOSE(VLOOKUP(F$18,таблица,65,0),"Январь","Февраль","Март","Апрель","Май","Июнь","Июль","Август","Сентябрь","Октябрь","Ноябрь","Декабрь")," - ",CHOOSE(VLOOKUP(F$18,таблица,66,0),"Январь","Февраль","Март","Апрель","Май","Июнь","Июль","Август","Сентябрь","Октябрь","Ноябрь","Декабрь"),")")</f>
        <v>#N/A</v>
      </c>
      <c r="C300" s="389" t="s">
        <v>222</v>
      </c>
      <c r="D300" s="417" t="e">
        <f>IF(D302=0,0,VLOOKUP($F$18,таблица,70,0)*100+100)</f>
        <v>#N/A</v>
      </c>
      <c r="K300" s="365" t="e">
        <f t="shared" ref="K300:K302" si="97">IF(D300=0,"",1)</f>
        <v>#N/A</v>
      </c>
    </row>
    <row r="301" spans="1:11" hidden="1" x14ac:dyDescent="0.25">
      <c r="A301" s="389" t="e">
        <f>IF(D301=0,0,IF(D300=0,A299+1,A300+1))</f>
        <v>#N/A</v>
      </c>
      <c r="B301" s="390" t="s">
        <v>223</v>
      </c>
      <c r="C301" s="389" t="s">
        <v>224</v>
      </c>
      <c r="D301" s="394" t="e">
        <f>VLOOKUP($F$18,таблица,46,0)</f>
        <v>#N/A</v>
      </c>
      <c r="K301" s="365" t="e">
        <f t="shared" si="97"/>
        <v>#N/A</v>
      </c>
    </row>
    <row r="302" spans="1:11" hidden="1" x14ac:dyDescent="0.25">
      <c r="A302" s="389" t="e">
        <f>IF(D302=0,0,IF(D301=0,A300+1,A301+1))</f>
        <v>#N/A</v>
      </c>
      <c r="B302" s="390" t="s">
        <v>351</v>
      </c>
      <c r="C302" s="389" t="s">
        <v>224</v>
      </c>
      <c r="D302" s="394" t="e">
        <f>VLOOKUP($F$18,таблица,56,0)</f>
        <v>#N/A</v>
      </c>
      <c r="K302" s="365" t="e">
        <f t="shared" si="97"/>
        <v>#N/A</v>
      </c>
    </row>
    <row r="303" spans="1:11" hidden="1" x14ac:dyDescent="0.25">
      <c r="A303" s="464" t="s">
        <v>225</v>
      </c>
      <c r="B303" s="464"/>
      <c r="C303" s="464"/>
      <c r="D303" s="464"/>
      <c r="K303" s="365" t="str">
        <f>IF($F$18=0,"",1)</f>
        <v/>
      </c>
    </row>
    <row r="304" spans="1:11" ht="31.5" hidden="1" x14ac:dyDescent="0.25">
      <c r="A304" s="389" t="e">
        <f>IF(D304=0,0,IF(D302=0,IF(D301=0,A298+1,A301+1),A302+1))</f>
        <v>#N/A</v>
      </c>
      <c r="B304" s="395" t="s">
        <v>275</v>
      </c>
      <c r="C304" s="389" t="s">
        <v>224</v>
      </c>
      <c r="D304" s="394" t="e">
        <f>SUM(VLOOKUP($F$18,таблица,41,0),D301)</f>
        <v>#N/A</v>
      </c>
      <c r="E304" s="365"/>
      <c r="K304" s="365" t="e">
        <f t="shared" ref="K304:K310" si="98">IF(D304=0,"",1)</f>
        <v>#N/A</v>
      </c>
    </row>
    <row r="305" spans="1:11" hidden="1" x14ac:dyDescent="0.25">
      <c r="A305" s="389" t="e">
        <f>IF(D305=0,0,A304+1)</f>
        <v>#N/A</v>
      </c>
      <c r="B305" s="395" t="s">
        <v>227</v>
      </c>
      <c r="C305" s="389" t="s">
        <v>224</v>
      </c>
      <c r="D305" s="394" t="e">
        <f>VLOOKUP($F$18,таблица,51,0)</f>
        <v>#N/A</v>
      </c>
      <c r="E305" s="365"/>
      <c r="K305" s="365" t="e">
        <f t="shared" si="98"/>
        <v>#N/A</v>
      </c>
    </row>
    <row r="306" spans="1:11" hidden="1" x14ac:dyDescent="0.25">
      <c r="A306" s="389" t="e">
        <f>IF(D306=0,0,A305+1)</f>
        <v>#N/A</v>
      </c>
      <c r="B306" s="395" t="s">
        <v>274</v>
      </c>
      <c r="C306" s="389" t="s">
        <v>224</v>
      </c>
      <c r="D306" s="397" t="e">
        <f>SUM(D304:D305)</f>
        <v>#N/A</v>
      </c>
      <c r="E306" s="391" t="e">
        <f>VLOOKUP($F$18,таблица,71,0)</f>
        <v>#N/A</v>
      </c>
      <c r="K306" s="365" t="e">
        <f t="shared" si="98"/>
        <v>#N/A</v>
      </c>
    </row>
    <row r="307" spans="1:11" ht="31.5" hidden="1" x14ac:dyDescent="0.25">
      <c r="A307" s="389" t="e">
        <f>IF(D307=0,0,IF(D306=0,IF(D302=0,A298+1,A302+1),A306+1))</f>
        <v>#N/A</v>
      </c>
      <c r="B307" s="395" t="s">
        <v>349</v>
      </c>
      <c r="C307" s="389" t="s">
        <v>224</v>
      </c>
      <c r="D307" s="394" t="e">
        <f>VLOOKUP($F$18,таблица,36,0)-VLOOKUP($F$18,таблица,41,0)+D302</f>
        <v>#N/A</v>
      </c>
      <c r="K307" s="365" t="e">
        <f t="shared" si="98"/>
        <v>#N/A</v>
      </c>
    </row>
    <row r="308" spans="1:11" hidden="1" x14ac:dyDescent="0.25">
      <c r="A308" s="389" t="e">
        <f>IF(D308=0,0,A307+1)</f>
        <v>#N/A</v>
      </c>
      <c r="B308" s="395" t="s">
        <v>227</v>
      </c>
      <c r="C308" s="389" t="s">
        <v>224</v>
      </c>
      <c r="D308" s="394" t="e">
        <f>VLOOKUP($F$18,таблица,61,0)</f>
        <v>#N/A</v>
      </c>
      <c r="K308" s="365" t="e">
        <f t="shared" si="98"/>
        <v>#N/A</v>
      </c>
    </row>
    <row r="309" spans="1:11" hidden="1" x14ac:dyDescent="0.25">
      <c r="A309" s="389" t="e">
        <f>IF(D309=0,0,A308+1)</f>
        <v>#N/A</v>
      </c>
      <c r="B309" s="395" t="s">
        <v>350</v>
      </c>
      <c r="C309" s="389" t="s">
        <v>224</v>
      </c>
      <c r="D309" s="397" t="e">
        <f>SUM(D307:D308)</f>
        <v>#N/A</v>
      </c>
      <c r="E309" s="391" t="e">
        <f>VLOOKUP($F$18,таблица,72,0)</f>
        <v>#N/A</v>
      </c>
      <c r="K309" s="365" t="e">
        <f t="shared" si="98"/>
        <v>#N/A</v>
      </c>
    </row>
    <row r="310" spans="1:11" hidden="1" x14ac:dyDescent="0.25">
      <c r="A310" s="389" t="e">
        <f>IF(D310=0,0,A309+1)</f>
        <v>#N/A</v>
      </c>
      <c r="B310" s="395" t="s">
        <v>226</v>
      </c>
      <c r="C310" s="389" t="s">
        <v>224</v>
      </c>
      <c r="D310" s="397" t="e">
        <f>IF(OR(D306=0,D309=0),0,D309+D306)</f>
        <v>#N/A</v>
      </c>
      <c r="E310" s="391" t="e">
        <f>VLOOKUP($F$18,таблица,62,0)</f>
        <v>#N/A</v>
      </c>
      <c r="K310" s="365" t="e">
        <f t="shared" si="98"/>
        <v>#N/A</v>
      </c>
    </row>
    <row r="311" spans="1:11" hidden="1" x14ac:dyDescent="0.25">
      <c r="A311" s="400"/>
      <c r="B311" s="400"/>
      <c r="C311" s="400"/>
      <c r="D311" s="401"/>
      <c r="K311" s="365" t="str">
        <f>IF($F$18=0,"",1)</f>
        <v/>
      </c>
    </row>
    <row r="312" spans="1:11" ht="47.25" hidden="1" customHeight="1" x14ac:dyDescent="0.25">
      <c r="A312" s="465" t="str">
        <f>'Анализ стоимости'!$I$58</f>
        <v>Начальник финансового отдела</v>
      </c>
      <c r="B312" s="466"/>
      <c r="C312" s="402"/>
      <c r="D312" s="403" t="str">
        <f>'Анализ стоимости'!$I$59</f>
        <v>А.Ю.Кашуба</v>
      </c>
      <c r="H312" s="405" t="str">
        <f>A312</f>
        <v>Начальник финансового отдела</v>
      </c>
      <c r="K312" s="365" t="str">
        <f>IF($F$18=0,"",1)</f>
        <v/>
      </c>
    </row>
    <row r="313" spans="1:11" hidden="1" x14ac:dyDescent="0.25">
      <c r="A313" s="407"/>
      <c r="B313" s="407"/>
      <c r="C313" s="407"/>
      <c r="D313" s="408"/>
      <c r="K313" s="365" t="str">
        <f>IF($F$18=0,"",1)</f>
        <v/>
      </c>
    </row>
    <row r="314" spans="1:11" hidden="1" x14ac:dyDescent="0.25">
      <c r="A314" s="462">
        <f ca="1">TODAY()</f>
        <v>42101</v>
      </c>
      <c r="B314" s="462"/>
      <c r="C314" s="371"/>
      <c r="D314" s="371"/>
      <c r="K314" s="365" t="str">
        <f>IF($F$18=0,"",1)</f>
        <v/>
      </c>
    </row>
    <row r="315" spans="1:11" hidden="1" x14ac:dyDescent="0.25">
      <c r="A315" s="463" t="s">
        <v>251</v>
      </c>
      <c r="B315" s="463"/>
      <c r="C315" s="463"/>
      <c r="D315" s="463"/>
      <c r="H315" s="369"/>
      <c r="I315" s="369"/>
      <c r="K315" s="365" t="str">
        <f t="shared" ref="K315:K332" si="99">IF($F$19=0,"",1)</f>
        <v/>
      </c>
    </row>
    <row r="316" spans="1:11" ht="47.25" hidden="1" customHeight="1" x14ac:dyDescent="0.2">
      <c r="A316" s="458" t="e">
        <f>CONCATENATE("Наименование объекта: ",VLOOKUP($F$19,таблица,9,0))</f>
        <v>#N/A</v>
      </c>
      <c r="B316" s="458"/>
      <c r="C316" s="458"/>
      <c r="D316" s="458"/>
      <c r="J316" s="414" t="e">
        <f>A316</f>
        <v>#N/A</v>
      </c>
      <c r="K316" s="365" t="str">
        <f t="shared" si="99"/>
        <v/>
      </c>
    </row>
    <row r="317" spans="1:11" hidden="1" x14ac:dyDescent="0.25">
      <c r="A317" s="383"/>
      <c r="B317" s="372"/>
      <c r="C317" s="372"/>
      <c r="D317" s="372"/>
      <c r="K317" s="365" t="str">
        <f t="shared" si="99"/>
        <v/>
      </c>
    </row>
    <row r="318" spans="1:11" hidden="1" x14ac:dyDescent="0.25">
      <c r="A318" s="415" t="s">
        <v>218</v>
      </c>
      <c r="B318" s="378"/>
      <c r="C318" s="378"/>
      <c r="D318" s="378"/>
      <c r="K318" s="365" t="str">
        <f t="shared" si="99"/>
        <v/>
      </c>
    </row>
    <row r="319" spans="1:11" hidden="1" x14ac:dyDescent="0.25">
      <c r="A319" s="459" t="s">
        <v>219</v>
      </c>
      <c r="B319" s="459"/>
      <c r="C319" s="459"/>
      <c r="D319" s="459"/>
      <c r="K319" s="365" t="str">
        <f t="shared" si="99"/>
        <v/>
      </c>
    </row>
    <row r="320" spans="1:11" ht="31.5" hidden="1" x14ac:dyDescent="0.25">
      <c r="A320" s="385" t="s">
        <v>111</v>
      </c>
      <c r="B320" s="385" t="s">
        <v>167</v>
      </c>
      <c r="C320" s="460" t="e">
        <f>CONCATENATE("Стоимость  согласно сметной документации (руб.) в текущих ценах по состоянию на ",VLOOKUP($F$19,таблица,5,0)," г.")</f>
        <v>#N/A</v>
      </c>
      <c r="D320" s="461"/>
      <c r="I320" s="386" t="e">
        <f>C320</f>
        <v>#N/A</v>
      </c>
      <c r="K320" s="365" t="str">
        <f t="shared" si="99"/>
        <v/>
      </c>
    </row>
    <row r="321" spans="1:11" hidden="1" x14ac:dyDescent="0.25">
      <c r="A321" s="389">
        <v>1</v>
      </c>
      <c r="B321" s="390" t="s">
        <v>68</v>
      </c>
      <c r="C321" s="455" t="e">
        <f>VLOOKUP($F$19,таблица,10,0)</f>
        <v>#N/A</v>
      </c>
      <c r="D321" s="456"/>
      <c r="K321" s="365" t="str">
        <f t="shared" si="99"/>
        <v/>
      </c>
    </row>
    <row r="322" spans="1:11" hidden="1" x14ac:dyDescent="0.25">
      <c r="A322" s="389">
        <v>2</v>
      </c>
      <c r="B322" s="390" t="s">
        <v>58</v>
      </c>
      <c r="C322" s="455" t="e">
        <f>VLOOKUP($F$19,таблица,11,0)</f>
        <v>#N/A</v>
      </c>
      <c r="D322" s="456"/>
      <c r="K322" s="365" t="str">
        <f t="shared" si="99"/>
        <v/>
      </c>
    </row>
    <row r="323" spans="1:11" ht="31.5" hidden="1" x14ac:dyDescent="0.25">
      <c r="A323" s="389">
        <v>3</v>
      </c>
      <c r="B323" s="390" t="s">
        <v>8</v>
      </c>
      <c r="C323" s="455" t="e">
        <f>VLOOKUP($F$19,таблица,12,0)</f>
        <v>#N/A</v>
      </c>
      <c r="D323" s="456"/>
      <c r="K323" s="365" t="str">
        <f t="shared" si="99"/>
        <v/>
      </c>
    </row>
    <row r="324" spans="1:11" hidden="1" x14ac:dyDescent="0.25">
      <c r="A324" s="389">
        <v>4</v>
      </c>
      <c r="B324" s="390" t="s">
        <v>59</v>
      </c>
      <c r="C324" s="455" t="e">
        <f>VLOOKUP($F$19,таблица,13,0)</f>
        <v>#N/A</v>
      </c>
      <c r="D324" s="456"/>
      <c r="K324" s="365" t="str">
        <f t="shared" si="99"/>
        <v/>
      </c>
    </row>
    <row r="325" spans="1:11" hidden="1" x14ac:dyDescent="0.25">
      <c r="A325" s="389">
        <v>5</v>
      </c>
      <c r="B325" s="390" t="s">
        <v>14</v>
      </c>
      <c r="C325" s="455" t="e">
        <f>VLOOKUP($F$19,таблица,14,0)</f>
        <v>#N/A</v>
      </c>
      <c r="D325" s="456"/>
      <c r="K325" s="365" t="str">
        <f t="shared" si="99"/>
        <v/>
      </c>
    </row>
    <row r="326" spans="1:11" hidden="1" x14ac:dyDescent="0.25">
      <c r="A326" s="389">
        <v>6</v>
      </c>
      <c r="B326" s="390" t="s">
        <v>23</v>
      </c>
      <c r="C326" s="455" t="e">
        <f>VLOOKUP($F$19,таблица,18,0)</f>
        <v>#N/A</v>
      </c>
      <c r="D326" s="456"/>
      <c r="K326" s="365" t="str">
        <f t="shared" si="99"/>
        <v/>
      </c>
    </row>
    <row r="327" spans="1:11" hidden="1" x14ac:dyDescent="0.25">
      <c r="A327" s="389">
        <v>7</v>
      </c>
      <c r="B327" s="390" t="s">
        <v>156</v>
      </c>
      <c r="C327" s="455" t="e">
        <f>VLOOKUP($F$19,таблица,19,0)+VLOOKUP($F$19,таблица,21,0)+VLOOKUP($F$19,таблица,22,0)+VLOOKUP($F$19,таблица,23,0)+VLOOKUP($F$19,таблица,24,0)+VLOOKUP($F$19,таблица,25,0)+VLOOKUP($F$19,таблица,26,0)</f>
        <v>#N/A</v>
      </c>
      <c r="D327" s="456"/>
      <c r="K327" s="365" t="str">
        <f t="shared" si="99"/>
        <v/>
      </c>
    </row>
    <row r="328" spans="1:11" hidden="1" x14ac:dyDescent="0.25">
      <c r="A328" s="389">
        <v>8</v>
      </c>
      <c r="B328" s="390" t="s">
        <v>101</v>
      </c>
      <c r="C328" s="455" t="e">
        <f>VLOOKUP($F$19,таблица,31,0)</f>
        <v>#N/A</v>
      </c>
      <c r="D328" s="456"/>
      <c r="K328" s="365" t="str">
        <f t="shared" si="99"/>
        <v/>
      </c>
    </row>
    <row r="329" spans="1:11" hidden="1" x14ac:dyDescent="0.25">
      <c r="A329" s="389">
        <v>9</v>
      </c>
      <c r="B329" s="390" t="s">
        <v>241</v>
      </c>
      <c r="C329" s="455" t="e">
        <f>SUM(C321:D328)</f>
        <v>#N/A</v>
      </c>
      <c r="D329" s="456"/>
      <c r="K329" s="365" t="str">
        <f t="shared" si="99"/>
        <v/>
      </c>
    </row>
    <row r="330" spans="1:11" hidden="1" x14ac:dyDescent="0.25">
      <c r="A330" s="464" t="s">
        <v>231</v>
      </c>
      <c r="B330" s="464"/>
      <c r="C330" s="464"/>
      <c r="D330" s="464"/>
      <c r="K330" s="365" t="str">
        <f t="shared" si="99"/>
        <v/>
      </c>
    </row>
    <row r="331" spans="1:11" ht="31.5" hidden="1" x14ac:dyDescent="0.25">
      <c r="A331" s="392" t="s">
        <v>111</v>
      </c>
      <c r="B331" s="385" t="s">
        <v>36</v>
      </c>
      <c r="C331" s="385" t="s">
        <v>221</v>
      </c>
      <c r="D331" s="385" t="s">
        <v>168</v>
      </c>
      <c r="K331" s="365" t="str">
        <f t="shared" si="99"/>
        <v/>
      </c>
    </row>
    <row r="332" spans="1:11" hidden="1" x14ac:dyDescent="0.25">
      <c r="A332" s="389">
        <v>10</v>
      </c>
      <c r="B332" s="389" t="e">
        <f>VLOOKUP((VLOOKUP($F$19,таблица,8,0)),рем_содер,2,0)</f>
        <v>#N/A</v>
      </c>
      <c r="C332" s="389"/>
      <c r="D332" s="390"/>
      <c r="K332" s="365" t="str">
        <f t="shared" si="99"/>
        <v/>
      </c>
    </row>
    <row r="333" spans="1:11" hidden="1" x14ac:dyDescent="0.25">
      <c r="A333" s="389" t="e">
        <f>IF(D333=0,0,A332+1)</f>
        <v>#N/A</v>
      </c>
      <c r="B333" s="390" t="e">
        <f>CONCATENATE("2015 г. (",CHOOSE(VLOOKUP(F$19,таблица,63,0),"Январь","Февраль","Март","Апрель","Май","Июнь","Июль","Август","Сентябрь","Октябрь","Ноябрь","Декабрь")," - ",CHOOSE(VLOOKUP(F$19,таблица,64,0),"Январь","Февраль","Март","Апрель","Май","Июнь","Июль","Август","Сентябрь","Октябрь","Ноябрь","Декабрь"),")")</f>
        <v>#N/A</v>
      </c>
      <c r="C333" s="389" t="s">
        <v>222</v>
      </c>
      <c r="D333" s="417" t="e">
        <f>IF(D335=0,0,VLOOKUP($F$19,таблица,69,0)*100+100)</f>
        <v>#N/A</v>
      </c>
      <c r="K333" s="365" t="e">
        <f>IF(D333=0,"",1)</f>
        <v>#N/A</v>
      </c>
    </row>
    <row r="334" spans="1:11" hidden="1" x14ac:dyDescent="0.25">
      <c r="A334" s="389" t="e">
        <f>IF(D334=0,0,IF(D333=0,A332+1,A333+1))</f>
        <v>#N/A</v>
      </c>
      <c r="B334" s="390" t="e">
        <f>CONCATENATE("2016 г. (",CHOOSE(VLOOKUP(F$19,таблица,65,0),"Январь","Февраль","Март","Апрель","Май","Июнь","Июль","Август","Сентябрь","Октябрь","Ноябрь","Декабрь")," - ",CHOOSE(VLOOKUP(F$19,таблица,66,0),"Январь","Февраль","Март","Апрель","Май","Июнь","Июль","Август","Сентябрь","Октябрь","Ноябрь","Декабрь"),")")</f>
        <v>#N/A</v>
      </c>
      <c r="C334" s="389" t="s">
        <v>222</v>
      </c>
      <c r="D334" s="417" t="e">
        <f>IF(D336=0,0,VLOOKUP($F$19,таблица,70,0)*100+100)</f>
        <v>#N/A</v>
      </c>
      <c r="K334" s="365" t="e">
        <f t="shared" ref="K334:K336" si="100">IF(D334=0,"",1)</f>
        <v>#N/A</v>
      </c>
    </row>
    <row r="335" spans="1:11" hidden="1" x14ac:dyDescent="0.25">
      <c r="A335" s="389" t="e">
        <f>IF(D335=0,0,IF(D334=0,A333+1,A334+1))</f>
        <v>#N/A</v>
      </c>
      <c r="B335" s="390" t="s">
        <v>223</v>
      </c>
      <c r="C335" s="389" t="s">
        <v>224</v>
      </c>
      <c r="D335" s="394" t="e">
        <f>VLOOKUP($F$19,таблица,46,0)</f>
        <v>#N/A</v>
      </c>
      <c r="K335" s="365" t="e">
        <f t="shared" si="100"/>
        <v>#N/A</v>
      </c>
    </row>
    <row r="336" spans="1:11" hidden="1" x14ac:dyDescent="0.25">
      <c r="A336" s="389" t="e">
        <f>IF(D336=0,0,IF(D335=0,A334+1,A335+1))</f>
        <v>#N/A</v>
      </c>
      <c r="B336" s="390" t="s">
        <v>351</v>
      </c>
      <c r="C336" s="389" t="s">
        <v>224</v>
      </c>
      <c r="D336" s="394" t="e">
        <f>VLOOKUP($F$19,таблица,56,0)</f>
        <v>#N/A</v>
      </c>
      <c r="K336" s="365" t="e">
        <f t="shared" si="100"/>
        <v>#N/A</v>
      </c>
    </row>
    <row r="337" spans="1:11" hidden="1" x14ac:dyDescent="0.25">
      <c r="A337" s="464" t="s">
        <v>225</v>
      </c>
      <c r="B337" s="464"/>
      <c r="C337" s="464"/>
      <c r="D337" s="464"/>
      <c r="K337" s="365" t="str">
        <f>IF($F$19=0,"",1)</f>
        <v/>
      </c>
    </row>
    <row r="338" spans="1:11" ht="31.5" hidden="1" x14ac:dyDescent="0.25">
      <c r="A338" s="389" t="e">
        <f>IF(D338=0,0,IF(D336=0,IF(D335=0,A332+1,A335+1),A336+1))</f>
        <v>#N/A</v>
      </c>
      <c r="B338" s="395" t="s">
        <v>275</v>
      </c>
      <c r="C338" s="389" t="s">
        <v>224</v>
      </c>
      <c r="D338" s="394" t="e">
        <f>SUM(VLOOKUP($F$19,таблица,41,0),D335)</f>
        <v>#N/A</v>
      </c>
      <c r="E338" s="365"/>
      <c r="K338" s="365" t="e">
        <f t="shared" ref="K338:K344" si="101">IF(D338=0,"",1)</f>
        <v>#N/A</v>
      </c>
    </row>
    <row r="339" spans="1:11" hidden="1" x14ac:dyDescent="0.25">
      <c r="A339" s="389" t="e">
        <f>IF(D339=0,0,A338+1)</f>
        <v>#N/A</v>
      </c>
      <c r="B339" s="395" t="s">
        <v>227</v>
      </c>
      <c r="C339" s="389" t="s">
        <v>224</v>
      </c>
      <c r="D339" s="394" t="e">
        <f>VLOOKUP($F$19,таблица,51,0)</f>
        <v>#N/A</v>
      </c>
      <c r="E339" s="365"/>
      <c r="K339" s="365" t="e">
        <f t="shared" si="101"/>
        <v>#N/A</v>
      </c>
    </row>
    <row r="340" spans="1:11" hidden="1" x14ac:dyDescent="0.25">
      <c r="A340" s="389" t="e">
        <f>IF(D340=0,0,A339+1)</f>
        <v>#N/A</v>
      </c>
      <c r="B340" s="395" t="s">
        <v>274</v>
      </c>
      <c r="C340" s="389" t="s">
        <v>224</v>
      </c>
      <c r="D340" s="397" t="e">
        <f>SUM(D338:D339)</f>
        <v>#N/A</v>
      </c>
      <c r="E340" s="391" t="e">
        <f>VLOOKUP($F$19,таблица,71,0)</f>
        <v>#N/A</v>
      </c>
      <c r="K340" s="365" t="e">
        <f t="shared" si="101"/>
        <v>#N/A</v>
      </c>
    </row>
    <row r="341" spans="1:11" ht="31.5" hidden="1" x14ac:dyDescent="0.25">
      <c r="A341" s="389" t="e">
        <f>IF(D341=0,0,IF(D340=0,IF(D336=0,A332+1,A336+1),A340+1))</f>
        <v>#N/A</v>
      </c>
      <c r="B341" s="395" t="s">
        <v>349</v>
      </c>
      <c r="C341" s="389" t="s">
        <v>224</v>
      </c>
      <c r="D341" s="394" t="e">
        <f>VLOOKUP($F$19,таблица,36,0)-VLOOKUP($F$19,таблица,41,0)+D336</f>
        <v>#N/A</v>
      </c>
      <c r="K341" s="365" t="e">
        <f t="shared" si="101"/>
        <v>#N/A</v>
      </c>
    </row>
    <row r="342" spans="1:11" hidden="1" x14ac:dyDescent="0.25">
      <c r="A342" s="389" t="e">
        <f>IF(D342=0,0,A341+1)</f>
        <v>#N/A</v>
      </c>
      <c r="B342" s="395" t="s">
        <v>227</v>
      </c>
      <c r="C342" s="389" t="s">
        <v>224</v>
      </c>
      <c r="D342" s="394" t="e">
        <f>VLOOKUP($F$19,таблица,61,0)</f>
        <v>#N/A</v>
      </c>
      <c r="K342" s="365" t="e">
        <f t="shared" si="101"/>
        <v>#N/A</v>
      </c>
    </row>
    <row r="343" spans="1:11" hidden="1" x14ac:dyDescent="0.25">
      <c r="A343" s="389" t="e">
        <f>IF(D343=0,0,A342+1)</f>
        <v>#N/A</v>
      </c>
      <c r="B343" s="395" t="s">
        <v>350</v>
      </c>
      <c r="C343" s="389" t="s">
        <v>224</v>
      </c>
      <c r="D343" s="397" t="e">
        <f>SUM(D341:D342)</f>
        <v>#N/A</v>
      </c>
      <c r="E343" s="391" t="e">
        <f>VLOOKUP($F$19,таблица,72,0)</f>
        <v>#N/A</v>
      </c>
      <c r="K343" s="365" t="e">
        <f t="shared" si="101"/>
        <v>#N/A</v>
      </c>
    </row>
    <row r="344" spans="1:11" hidden="1" x14ac:dyDescent="0.25">
      <c r="A344" s="389" t="e">
        <f>IF(D344=0,0,A343+1)</f>
        <v>#N/A</v>
      </c>
      <c r="B344" s="395" t="s">
        <v>226</v>
      </c>
      <c r="C344" s="389" t="s">
        <v>224</v>
      </c>
      <c r="D344" s="397" t="e">
        <f>IF(OR(D340=0,D343=0),0,D343+D340)</f>
        <v>#N/A</v>
      </c>
      <c r="E344" s="391" t="e">
        <f>VLOOKUP($F$19,таблица,62,0)</f>
        <v>#N/A</v>
      </c>
      <c r="K344" s="365" t="e">
        <f t="shared" si="101"/>
        <v>#N/A</v>
      </c>
    </row>
    <row r="345" spans="1:11" hidden="1" x14ac:dyDescent="0.25">
      <c r="A345" s="400"/>
      <c r="B345" s="400"/>
      <c r="C345" s="400"/>
      <c r="D345" s="401"/>
      <c r="K345" s="365" t="str">
        <f>IF($F$19=0,"",1)</f>
        <v/>
      </c>
    </row>
    <row r="346" spans="1:11" ht="47.25" hidden="1" customHeight="1" x14ac:dyDescent="0.25">
      <c r="A346" s="465" t="str">
        <f>'Анализ стоимости'!$I$58</f>
        <v>Начальник финансового отдела</v>
      </c>
      <c r="B346" s="466"/>
      <c r="C346" s="402"/>
      <c r="D346" s="403" t="str">
        <f>'Анализ стоимости'!$I$59</f>
        <v>А.Ю.Кашуба</v>
      </c>
      <c r="H346" s="405" t="str">
        <f>A346</f>
        <v>Начальник финансового отдела</v>
      </c>
      <c r="K346" s="365" t="str">
        <f>IF($F$19=0,"",1)</f>
        <v/>
      </c>
    </row>
    <row r="347" spans="1:11" hidden="1" x14ac:dyDescent="0.25">
      <c r="A347" s="407"/>
      <c r="B347" s="407"/>
      <c r="C347" s="407"/>
      <c r="D347" s="408"/>
      <c r="K347" s="365" t="str">
        <f>IF($F$19=0,"",1)</f>
        <v/>
      </c>
    </row>
    <row r="348" spans="1:11" hidden="1" x14ac:dyDescent="0.25">
      <c r="A348" s="462">
        <f ca="1">TODAY()</f>
        <v>42101</v>
      </c>
      <c r="B348" s="462"/>
      <c r="C348" s="371"/>
      <c r="D348" s="371"/>
      <c r="K348" s="365" t="str">
        <f>IF($F$19=0,"",1)</f>
        <v/>
      </c>
    </row>
    <row r="349" spans="1:11" hidden="1" x14ac:dyDescent="0.25">
      <c r="A349" s="463" t="s">
        <v>252</v>
      </c>
      <c r="B349" s="463"/>
      <c r="C349" s="463"/>
      <c r="D349" s="463"/>
      <c r="H349" s="369"/>
      <c r="I349" s="369"/>
      <c r="K349" s="365" t="str">
        <f t="shared" ref="K349:K366" si="102">IF($F$20=0,"",1)</f>
        <v/>
      </c>
    </row>
    <row r="350" spans="1:11" ht="47.25" hidden="1" customHeight="1" x14ac:dyDescent="0.2">
      <c r="A350" s="458" t="e">
        <f>CONCATENATE("Наименование объекта: ",VLOOKUP($F$20,таблица,9,0))</f>
        <v>#N/A</v>
      </c>
      <c r="B350" s="458"/>
      <c r="C350" s="458"/>
      <c r="D350" s="458"/>
      <c r="J350" s="414" t="e">
        <f>A350</f>
        <v>#N/A</v>
      </c>
      <c r="K350" s="365" t="str">
        <f t="shared" si="102"/>
        <v/>
      </c>
    </row>
    <row r="351" spans="1:11" hidden="1" x14ac:dyDescent="0.25">
      <c r="A351" s="383"/>
      <c r="B351" s="372"/>
      <c r="C351" s="372"/>
      <c r="D351" s="372"/>
      <c r="K351" s="365" t="str">
        <f t="shared" si="102"/>
        <v/>
      </c>
    </row>
    <row r="352" spans="1:11" hidden="1" x14ac:dyDescent="0.25">
      <c r="A352" s="415" t="s">
        <v>218</v>
      </c>
      <c r="B352" s="378"/>
      <c r="C352" s="378"/>
      <c r="D352" s="378"/>
      <c r="K352" s="365" t="str">
        <f t="shared" si="102"/>
        <v/>
      </c>
    </row>
    <row r="353" spans="1:11" hidden="1" x14ac:dyDescent="0.25">
      <c r="A353" s="459" t="s">
        <v>219</v>
      </c>
      <c r="B353" s="459"/>
      <c r="C353" s="459"/>
      <c r="D353" s="459"/>
      <c r="K353" s="365" t="str">
        <f t="shared" si="102"/>
        <v/>
      </c>
    </row>
    <row r="354" spans="1:11" ht="31.5" hidden="1" x14ac:dyDescent="0.25">
      <c r="A354" s="385" t="s">
        <v>111</v>
      </c>
      <c r="B354" s="385" t="s">
        <v>167</v>
      </c>
      <c r="C354" s="460" t="e">
        <f>CONCATENATE("Стоимость  согласно сметной документации (руб.) в текущих ценах по состоянию на ",VLOOKUP($F$20,таблица,5,0)," г.")</f>
        <v>#N/A</v>
      </c>
      <c r="D354" s="461"/>
      <c r="I354" s="386" t="e">
        <f>C354</f>
        <v>#N/A</v>
      </c>
      <c r="K354" s="365" t="str">
        <f t="shared" si="102"/>
        <v/>
      </c>
    </row>
    <row r="355" spans="1:11" hidden="1" x14ac:dyDescent="0.25">
      <c r="A355" s="389">
        <v>1</v>
      </c>
      <c r="B355" s="390" t="s">
        <v>68</v>
      </c>
      <c r="C355" s="455" t="e">
        <f>VLOOKUP($F$20,таблица,10,0)</f>
        <v>#N/A</v>
      </c>
      <c r="D355" s="456"/>
      <c r="K355" s="365" t="str">
        <f t="shared" si="102"/>
        <v/>
      </c>
    </row>
    <row r="356" spans="1:11" hidden="1" x14ac:dyDescent="0.25">
      <c r="A356" s="389">
        <v>2</v>
      </c>
      <c r="B356" s="390" t="s">
        <v>58</v>
      </c>
      <c r="C356" s="455" t="e">
        <f>VLOOKUP($F$20,таблица,11,0)</f>
        <v>#N/A</v>
      </c>
      <c r="D356" s="456"/>
      <c r="K356" s="365" t="str">
        <f t="shared" si="102"/>
        <v/>
      </c>
    </row>
    <row r="357" spans="1:11" ht="31.5" hidden="1" x14ac:dyDescent="0.25">
      <c r="A357" s="389">
        <v>3</v>
      </c>
      <c r="B357" s="390" t="s">
        <v>8</v>
      </c>
      <c r="C357" s="455" t="e">
        <f>VLOOKUP($F$20,таблица,12,0)</f>
        <v>#N/A</v>
      </c>
      <c r="D357" s="456"/>
      <c r="K357" s="365" t="str">
        <f t="shared" si="102"/>
        <v/>
      </c>
    </row>
    <row r="358" spans="1:11" hidden="1" x14ac:dyDescent="0.25">
      <c r="A358" s="389">
        <v>4</v>
      </c>
      <c r="B358" s="390" t="s">
        <v>59</v>
      </c>
      <c r="C358" s="455" t="e">
        <f>VLOOKUP($F$20,таблица,13,0)</f>
        <v>#N/A</v>
      </c>
      <c r="D358" s="456"/>
      <c r="K358" s="365" t="str">
        <f t="shared" si="102"/>
        <v/>
      </c>
    </row>
    <row r="359" spans="1:11" hidden="1" x14ac:dyDescent="0.25">
      <c r="A359" s="389">
        <v>5</v>
      </c>
      <c r="B359" s="390" t="s">
        <v>14</v>
      </c>
      <c r="C359" s="455" t="e">
        <f>VLOOKUP($F$20,таблица,14,0)</f>
        <v>#N/A</v>
      </c>
      <c r="D359" s="456"/>
      <c r="K359" s="365" t="str">
        <f t="shared" si="102"/>
        <v/>
      </c>
    </row>
    <row r="360" spans="1:11" hidden="1" x14ac:dyDescent="0.25">
      <c r="A360" s="389">
        <v>6</v>
      </c>
      <c r="B360" s="390" t="s">
        <v>23</v>
      </c>
      <c r="C360" s="455" t="e">
        <f>VLOOKUP($F$20,таблица,18,0)</f>
        <v>#N/A</v>
      </c>
      <c r="D360" s="456"/>
      <c r="K360" s="365" t="str">
        <f t="shared" si="102"/>
        <v/>
      </c>
    </row>
    <row r="361" spans="1:11" hidden="1" x14ac:dyDescent="0.25">
      <c r="A361" s="389">
        <v>7</v>
      </c>
      <c r="B361" s="390" t="s">
        <v>156</v>
      </c>
      <c r="C361" s="455" t="e">
        <f>VLOOKUP($F$20,таблица,19,0)+VLOOKUP($F$20,таблица,21,0)+VLOOKUP($F$20,таблица,22,0)+VLOOKUP($F$20,таблица,23,0)+VLOOKUP($F$20,таблица,24,0)+VLOOKUP($F$20,таблица,25,0)+VLOOKUP($F$20,таблица,26,0)</f>
        <v>#N/A</v>
      </c>
      <c r="D361" s="456"/>
      <c r="K361" s="365" t="str">
        <f t="shared" si="102"/>
        <v/>
      </c>
    </row>
    <row r="362" spans="1:11" hidden="1" x14ac:dyDescent="0.25">
      <c r="A362" s="389">
        <v>8</v>
      </c>
      <c r="B362" s="390" t="s">
        <v>101</v>
      </c>
      <c r="C362" s="455" t="e">
        <f>VLOOKUP($F$20,таблица,31,0)</f>
        <v>#N/A</v>
      </c>
      <c r="D362" s="456"/>
      <c r="K362" s="365" t="str">
        <f t="shared" si="102"/>
        <v/>
      </c>
    </row>
    <row r="363" spans="1:11" hidden="1" x14ac:dyDescent="0.25">
      <c r="A363" s="389">
        <v>9</v>
      </c>
      <c r="B363" s="390" t="s">
        <v>241</v>
      </c>
      <c r="C363" s="455" t="e">
        <f>SUM(C355:D362)</f>
        <v>#N/A</v>
      </c>
      <c r="D363" s="456"/>
      <c r="K363" s="365" t="str">
        <f t="shared" si="102"/>
        <v/>
      </c>
    </row>
    <row r="364" spans="1:11" hidden="1" x14ac:dyDescent="0.25">
      <c r="A364" s="464" t="s">
        <v>231</v>
      </c>
      <c r="B364" s="464"/>
      <c r="C364" s="464"/>
      <c r="D364" s="464"/>
      <c r="K364" s="365" t="str">
        <f t="shared" si="102"/>
        <v/>
      </c>
    </row>
    <row r="365" spans="1:11" ht="31.5" hidden="1" x14ac:dyDescent="0.25">
      <c r="A365" s="392" t="s">
        <v>111</v>
      </c>
      <c r="B365" s="385" t="s">
        <v>36</v>
      </c>
      <c r="C365" s="385" t="s">
        <v>221</v>
      </c>
      <c r="D365" s="385" t="s">
        <v>168</v>
      </c>
      <c r="K365" s="365" t="str">
        <f t="shared" si="102"/>
        <v/>
      </c>
    </row>
    <row r="366" spans="1:11" hidden="1" x14ac:dyDescent="0.25">
      <c r="A366" s="389">
        <v>10</v>
      </c>
      <c r="B366" s="389" t="e">
        <f>VLOOKUP((VLOOKUP($F$20,таблица,8,0)),рем_содер,2,0)</f>
        <v>#N/A</v>
      </c>
      <c r="C366" s="389"/>
      <c r="D366" s="390"/>
      <c r="K366" s="365" t="str">
        <f t="shared" si="102"/>
        <v/>
      </c>
    </row>
    <row r="367" spans="1:11" hidden="1" x14ac:dyDescent="0.25">
      <c r="A367" s="389" t="e">
        <f>IF(D367=0,0,A366+1)</f>
        <v>#N/A</v>
      </c>
      <c r="B367" s="390" t="e">
        <f>CONCATENATE("2015 г. (",CHOOSE(VLOOKUP(F$20,таблица,63,0),"Январь","Февраль","Март","Апрель","Май","Июнь","Июль","Август","Сентябрь","Октябрь","Ноябрь","Декабрь")," - ",CHOOSE(VLOOKUP(F$20,таблица,64,0),"Январь","Февраль","Март","Апрель","Май","Июнь","Июль","Август","Сентябрь","Октябрь","Ноябрь","Декабрь"),")")</f>
        <v>#N/A</v>
      </c>
      <c r="C367" s="389" t="s">
        <v>222</v>
      </c>
      <c r="D367" s="417" t="e">
        <f>IF(D369=0,0,VLOOKUP($F$20,таблица,69,0)*100+100)</f>
        <v>#N/A</v>
      </c>
      <c r="K367" s="365" t="e">
        <f>IF(D367=0,"",1)</f>
        <v>#N/A</v>
      </c>
    </row>
    <row r="368" spans="1:11" hidden="1" x14ac:dyDescent="0.25">
      <c r="A368" s="389" t="e">
        <f>IF(D368=0,0,IF(D367=0,A366+1,A367+1))</f>
        <v>#N/A</v>
      </c>
      <c r="B368" s="390" t="e">
        <f>CONCATENATE("2016 г. (",CHOOSE(VLOOKUP(F$20,таблица,65,0),"Январь","Февраль","Март","Апрель","Май","Июнь","Июль","Август","Сентябрь","Октябрь","Ноябрь","Декабрь")," - ",CHOOSE(VLOOKUP(F$20,таблица,66,0),"Январь","Февраль","Март","Апрель","Май","Июнь","Июль","Август","Сентябрь","Октябрь","Ноябрь","Декабрь"),")")</f>
        <v>#N/A</v>
      </c>
      <c r="C368" s="389" t="s">
        <v>222</v>
      </c>
      <c r="D368" s="417" t="e">
        <f>IF(D370=0,0,VLOOKUP($F$20,таблица,70,0)*100+100)</f>
        <v>#N/A</v>
      </c>
      <c r="K368" s="365" t="e">
        <f t="shared" ref="K368:K370" si="103">IF(D368=0,"",1)</f>
        <v>#N/A</v>
      </c>
    </row>
    <row r="369" spans="1:11" hidden="1" x14ac:dyDescent="0.25">
      <c r="A369" s="389" t="e">
        <f>IF(D369=0,0,IF(D368=0,A367+1,A368+1))</f>
        <v>#N/A</v>
      </c>
      <c r="B369" s="390" t="s">
        <v>223</v>
      </c>
      <c r="C369" s="389" t="s">
        <v>224</v>
      </c>
      <c r="D369" s="394" t="e">
        <f>VLOOKUP($F$20,таблица,46,0)</f>
        <v>#N/A</v>
      </c>
      <c r="K369" s="365" t="e">
        <f t="shared" si="103"/>
        <v>#N/A</v>
      </c>
    </row>
    <row r="370" spans="1:11" hidden="1" x14ac:dyDescent="0.25">
      <c r="A370" s="389" t="e">
        <f>IF(D370=0,0,IF(D369=0,A368+1,A369+1))</f>
        <v>#N/A</v>
      </c>
      <c r="B370" s="390" t="s">
        <v>351</v>
      </c>
      <c r="C370" s="389" t="s">
        <v>224</v>
      </c>
      <c r="D370" s="394" t="e">
        <f>VLOOKUP($F$20,таблица,56,0)</f>
        <v>#N/A</v>
      </c>
      <c r="K370" s="365" t="e">
        <f t="shared" si="103"/>
        <v>#N/A</v>
      </c>
    </row>
    <row r="371" spans="1:11" hidden="1" x14ac:dyDescent="0.25">
      <c r="A371" s="464" t="s">
        <v>225</v>
      </c>
      <c r="B371" s="464"/>
      <c r="C371" s="464"/>
      <c r="D371" s="464"/>
      <c r="K371" s="365" t="str">
        <f>IF($F$20=0,"",1)</f>
        <v/>
      </c>
    </row>
    <row r="372" spans="1:11" ht="31.5" hidden="1" x14ac:dyDescent="0.25">
      <c r="A372" s="389" t="e">
        <f>IF(D372=0,0,IF(D370=0,IF(D369=0,A366+1,A369+1),A370+1))</f>
        <v>#N/A</v>
      </c>
      <c r="B372" s="395" t="s">
        <v>275</v>
      </c>
      <c r="C372" s="389" t="s">
        <v>224</v>
      </c>
      <c r="D372" s="394" t="e">
        <f>SUM(VLOOKUP($F$20,таблица,41,0),D369)</f>
        <v>#N/A</v>
      </c>
      <c r="E372" s="365"/>
      <c r="K372" s="365" t="e">
        <f t="shared" ref="K372:K378" si="104">IF(D372=0,"",1)</f>
        <v>#N/A</v>
      </c>
    </row>
    <row r="373" spans="1:11" hidden="1" x14ac:dyDescent="0.25">
      <c r="A373" s="389" t="e">
        <f>IF(D373=0,0,A372+1)</f>
        <v>#N/A</v>
      </c>
      <c r="B373" s="395" t="s">
        <v>227</v>
      </c>
      <c r="C373" s="389" t="s">
        <v>224</v>
      </c>
      <c r="D373" s="394" t="e">
        <f>VLOOKUP($F$20,таблица,51,0)</f>
        <v>#N/A</v>
      </c>
      <c r="E373" s="365"/>
      <c r="K373" s="365" t="e">
        <f t="shared" si="104"/>
        <v>#N/A</v>
      </c>
    </row>
    <row r="374" spans="1:11" hidden="1" x14ac:dyDescent="0.25">
      <c r="A374" s="389" t="e">
        <f>IF(D374=0,0,A373+1)</f>
        <v>#N/A</v>
      </c>
      <c r="B374" s="395" t="s">
        <v>274</v>
      </c>
      <c r="C374" s="389" t="s">
        <v>224</v>
      </c>
      <c r="D374" s="397" t="e">
        <f>SUM(D372:D373)</f>
        <v>#N/A</v>
      </c>
      <c r="E374" s="391" t="e">
        <f>VLOOKUP($F$20,таблица,71,0)</f>
        <v>#N/A</v>
      </c>
      <c r="K374" s="365" t="e">
        <f t="shared" si="104"/>
        <v>#N/A</v>
      </c>
    </row>
    <row r="375" spans="1:11" ht="31.5" hidden="1" x14ac:dyDescent="0.25">
      <c r="A375" s="389" t="e">
        <f>IF(D375=0,0,IF(D374=0,IF(D370=0,A366+1,A370+1),A374+1))</f>
        <v>#N/A</v>
      </c>
      <c r="B375" s="395" t="s">
        <v>349</v>
      </c>
      <c r="C375" s="389" t="s">
        <v>224</v>
      </c>
      <c r="D375" s="394" t="e">
        <f>VLOOKUP($F$20,таблица,36,0)-VLOOKUP($F$20,таблица,41,0)+D370</f>
        <v>#N/A</v>
      </c>
      <c r="K375" s="365" t="e">
        <f t="shared" si="104"/>
        <v>#N/A</v>
      </c>
    </row>
    <row r="376" spans="1:11" hidden="1" x14ac:dyDescent="0.25">
      <c r="A376" s="389" t="e">
        <f>IF(D376=0,0,A375+1)</f>
        <v>#N/A</v>
      </c>
      <c r="B376" s="395" t="s">
        <v>227</v>
      </c>
      <c r="C376" s="389" t="s">
        <v>224</v>
      </c>
      <c r="D376" s="394" t="e">
        <f>VLOOKUP($F$20,таблица,61,0)</f>
        <v>#N/A</v>
      </c>
      <c r="K376" s="365" t="e">
        <f t="shared" si="104"/>
        <v>#N/A</v>
      </c>
    </row>
    <row r="377" spans="1:11" hidden="1" x14ac:dyDescent="0.25">
      <c r="A377" s="389" t="e">
        <f>IF(D377=0,0,A376+1)</f>
        <v>#N/A</v>
      </c>
      <c r="B377" s="395" t="s">
        <v>350</v>
      </c>
      <c r="C377" s="389" t="s">
        <v>224</v>
      </c>
      <c r="D377" s="397" t="e">
        <f>SUM(D375:D376)</f>
        <v>#N/A</v>
      </c>
      <c r="E377" s="391" t="e">
        <f>VLOOKUP($F$20,таблица,72,0)</f>
        <v>#N/A</v>
      </c>
      <c r="K377" s="365" t="e">
        <f t="shared" si="104"/>
        <v>#N/A</v>
      </c>
    </row>
    <row r="378" spans="1:11" hidden="1" x14ac:dyDescent="0.25">
      <c r="A378" s="389" t="e">
        <f>IF(D378=0,0,A377+1)</f>
        <v>#N/A</v>
      </c>
      <c r="B378" s="395" t="s">
        <v>226</v>
      </c>
      <c r="C378" s="389" t="s">
        <v>224</v>
      </c>
      <c r="D378" s="397" t="e">
        <f>IF(OR(D374=0,D377=0),0,D377+D374)</f>
        <v>#N/A</v>
      </c>
      <c r="E378" s="391" t="e">
        <f>VLOOKUP($F$20,таблица,62,0)</f>
        <v>#N/A</v>
      </c>
      <c r="K378" s="365" t="e">
        <f t="shared" si="104"/>
        <v>#N/A</v>
      </c>
    </row>
    <row r="379" spans="1:11" hidden="1" x14ac:dyDescent="0.25">
      <c r="A379" s="400"/>
      <c r="B379" s="400"/>
      <c r="C379" s="400"/>
      <c r="D379" s="401"/>
      <c r="K379" s="365" t="str">
        <f>IF($F$20=0,"",1)</f>
        <v/>
      </c>
    </row>
    <row r="380" spans="1:11" ht="47.25" hidden="1" customHeight="1" x14ac:dyDescent="0.25">
      <c r="A380" s="465" t="str">
        <f>'Анализ стоимости'!$I$58</f>
        <v>Начальник финансового отдела</v>
      </c>
      <c r="B380" s="466"/>
      <c r="C380" s="402"/>
      <c r="D380" s="403" t="str">
        <f>'Анализ стоимости'!$I$59</f>
        <v>А.Ю.Кашуба</v>
      </c>
      <c r="H380" s="405" t="str">
        <f>A380</f>
        <v>Начальник финансового отдела</v>
      </c>
      <c r="K380" s="365" t="str">
        <f>IF($F$20=0,"",1)</f>
        <v/>
      </c>
    </row>
    <row r="381" spans="1:11" hidden="1" x14ac:dyDescent="0.25">
      <c r="A381" s="407"/>
      <c r="B381" s="407"/>
      <c r="C381" s="407"/>
      <c r="D381" s="408"/>
      <c r="K381" s="365" t="str">
        <f>IF($F$20=0,"",1)</f>
        <v/>
      </c>
    </row>
    <row r="382" spans="1:11" hidden="1" x14ac:dyDescent="0.25">
      <c r="A382" s="462">
        <f ca="1">TODAY()</f>
        <v>42101</v>
      </c>
      <c r="B382" s="462"/>
      <c r="C382" s="371"/>
      <c r="D382" s="371"/>
      <c r="K382" s="365" t="str">
        <f>IF($F$20=0,"",1)</f>
        <v/>
      </c>
    </row>
    <row r="383" spans="1:11" hidden="1" x14ac:dyDescent="0.25">
      <c r="A383" s="463" t="s">
        <v>253</v>
      </c>
      <c r="B383" s="463"/>
      <c r="C383" s="463"/>
      <c r="D383" s="463"/>
      <c r="H383" s="369"/>
      <c r="I383" s="369"/>
      <c r="K383" s="365" t="str">
        <f t="shared" ref="K383:K400" si="105">IF($F$21=0,"",1)</f>
        <v/>
      </c>
    </row>
    <row r="384" spans="1:11" ht="47.25" hidden="1" customHeight="1" x14ac:dyDescent="0.2">
      <c r="A384" s="458" t="e">
        <f>CONCATENATE("Наименование объекта: ",VLOOKUP($F$21,таблица,9,0))</f>
        <v>#N/A</v>
      </c>
      <c r="B384" s="458"/>
      <c r="C384" s="458"/>
      <c r="D384" s="458"/>
      <c r="J384" s="414" t="e">
        <f>A384</f>
        <v>#N/A</v>
      </c>
      <c r="K384" s="365" t="str">
        <f t="shared" si="105"/>
        <v/>
      </c>
    </row>
    <row r="385" spans="1:11" hidden="1" x14ac:dyDescent="0.25">
      <c r="A385" s="383"/>
      <c r="B385" s="372"/>
      <c r="C385" s="372"/>
      <c r="D385" s="372"/>
      <c r="K385" s="365" t="str">
        <f t="shared" si="105"/>
        <v/>
      </c>
    </row>
    <row r="386" spans="1:11" hidden="1" x14ac:dyDescent="0.25">
      <c r="A386" s="415" t="s">
        <v>218</v>
      </c>
      <c r="B386" s="378"/>
      <c r="C386" s="378"/>
      <c r="D386" s="378"/>
      <c r="K386" s="365" t="str">
        <f t="shared" si="105"/>
        <v/>
      </c>
    </row>
    <row r="387" spans="1:11" hidden="1" x14ac:dyDescent="0.25">
      <c r="A387" s="459" t="s">
        <v>219</v>
      </c>
      <c r="B387" s="459"/>
      <c r="C387" s="459"/>
      <c r="D387" s="459"/>
      <c r="K387" s="365" t="str">
        <f t="shared" si="105"/>
        <v/>
      </c>
    </row>
    <row r="388" spans="1:11" ht="31.5" hidden="1" x14ac:dyDescent="0.25">
      <c r="A388" s="385" t="s">
        <v>111</v>
      </c>
      <c r="B388" s="385" t="s">
        <v>167</v>
      </c>
      <c r="C388" s="460" t="e">
        <f>CONCATENATE("Стоимость  согласно сметной документации (руб.) в текущих ценах по состоянию на ",VLOOKUP($F$21,таблица,5,0)," г.")</f>
        <v>#N/A</v>
      </c>
      <c r="D388" s="461"/>
      <c r="I388" s="386" t="e">
        <f>C388</f>
        <v>#N/A</v>
      </c>
      <c r="K388" s="365" t="str">
        <f t="shared" si="105"/>
        <v/>
      </c>
    </row>
    <row r="389" spans="1:11" hidden="1" x14ac:dyDescent="0.25">
      <c r="A389" s="389">
        <v>1</v>
      </c>
      <c r="B389" s="390" t="s">
        <v>68</v>
      </c>
      <c r="C389" s="455" t="e">
        <f>VLOOKUP($F$21,таблица,10,0)</f>
        <v>#N/A</v>
      </c>
      <c r="D389" s="456"/>
      <c r="K389" s="365" t="str">
        <f t="shared" si="105"/>
        <v/>
      </c>
    </row>
    <row r="390" spans="1:11" hidden="1" x14ac:dyDescent="0.25">
      <c r="A390" s="389">
        <v>2</v>
      </c>
      <c r="B390" s="390" t="s">
        <v>58</v>
      </c>
      <c r="C390" s="455" t="e">
        <f>VLOOKUP($F$21,таблица,11,0)</f>
        <v>#N/A</v>
      </c>
      <c r="D390" s="456"/>
      <c r="K390" s="365" t="str">
        <f t="shared" si="105"/>
        <v/>
      </c>
    </row>
    <row r="391" spans="1:11" ht="31.5" hidden="1" x14ac:dyDescent="0.25">
      <c r="A391" s="389">
        <v>3</v>
      </c>
      <c r="B391" s="390" t="s">
        <v>8</v>
      </c>
      <c r="C391" s="455" t="e">
        <f>VLOOKUP($F$21,таблица,12,0)</f>
        <v>#N/A</v>
      </c>
      <c r="D391" s="456"/>
      <c r="K391" s="365" t="str">
        <f t="shared" si="105"/>
        <v/>
      </c>
    </row>
    <row r="392" spans="1:11" hidden="1" x14ac:dyDescent="0.25">
      <c r="A392" s="389">
        <v>4</v>
      </c>
      <c r="B392" s="390" t="s">
        <v>59</v>
      </c>
      <c r="C392" s="455" t="e">
        <f>VLOOKUP($F$21,таблица,13,0)</f>
        <v>#N/A</v>
      </c>
      <c r="D392" s="456"/>
      <c r="K392" s="365" t="str">
        <f t="shared" si="105"/>
        <v/>
      </c>
    </row>
    <row r="393" spans="1:11" hidden="1" x14ac:dyDescent="0.25">
      <c r="A393" s="389">
        <v>5</v>
      </c>
      <c r="B393" s="390" t="s">
        <v>14</v>
      </c>
      <c r="C393" s="455" t="e">
        <f>VLOOKUP($F$21,таблица,14,0)</f>
        <v>#N/A</v>
      </c>
      <c r="D393" s="456"/>
      <c r="K393" s="365" t="str">
        <f t="shared" si="105"/>
        <v/>
      </c>
    </row>
    <row r="394" spans="1:11" hidden="1" x14ac:dyDescent="0.25">
      <c r="A394" s="389">
        <v>6</v>
      </c>
      <c r="B394" s="390" t="s">
        <v>23</v>
      </c>
      <c r="C394" s="455" t="e">
        <f>VLOOKUP($F$21,таблица,18,0)</f>
        <v>#N/A</v>
      </c>
      <c r="D394" s="456"/>
      <c r="K394" s="365" t="str">
        <f t="shared" si="105"/>
        <v/>
      </c>
    </row>
    <row r="395" spans="1:11" hidden="1" x14ac:dyDescent="0.25">
      <c r="A395" s="389">
        <v>7</v>
      </c>
      <c r="B395" s="390" t="s">
        <v>156</v>
      </c>
      <c r="C395" s="455" t="e">
        <f>VLOOKUP($F$21,таблица,19,0)+VLOOKUP($F$21,таблица,21,0)+VLOOKUP($F$21,таблица,22,0)+VLOOKUP($F$21,таблица,23,0)+VLOOKUP($F$21,таблица,24,0)+VLOOKUP($F$21,таблица,25,0)+VLOOKUP($F$21,таблица,26,0)</f>
        <v>#N/A</v>
      </c>
      <c r="D395" s="456"/>
      <c r="K395" s="365" t="str">
        <f t="shared" si="105"/>
        <v/>
      </c>
    </row>
    <row r="396" spans="1:11" hidden="1" x14ac:dyDescent="0.25">
      <c r="A396" s="389">
        <v>8</v>
      </c>
      <c r="B396" s="390" t="s">
        <v>101</v>
      </c>
      <c r="C396" s="455" t="e">
        <f>VLOOKUP($F$21,таблица,31,0)</f>
        <v>#N/A</v>
      </c>
      <c r="D396" s="456"/>
      <c r="K396" s="365" t="str">
        <f t="shared" si="105"/>
        <v/>
      </c>
    </row>
    <row r="397" spans="1:11" hidden="1" x14ac:dyDescent="0.25">
      <c r="A397" s="389">
        <v>9</v>
      </c>
      <c r="B397" s="390" t="s">
        <v>241</v>
      </c>
      <c r="C397" s="455" t="e">
        <f>SUM(C389:D396)</f>
        <v>#N/A</v>
      </c>
      <c r="D397" s="456"/>
      <c r="K397" s="365" t="str">
        <f t="shared" si="105"/>
        <v/>
      </c>
    </row>
    <row r="398" spans="1:11" hidden="1" x14ac:dyDescent="0.25">
      <c r="A398" s="464" t="s">
        <v>231</v>
      </c>
      <c r="B398" s="464"/>
      <c r="C398" s="464"/>
      <c r="D398" s="464"/>
      <c r="K398" s="365" t="str">
        <f t="shared" si="105"/>
        <v/>
      </c>
    </row>
    <row r="399" spans="1:11" ht="31.5" hidden="1" x14ac:dyDescent="0.25">
      <c r="A399" s="392" t="s">
        <v>111</v>
      </c>
      <c r="B399" s="385" t="s">
        <v>36</v>
      </c>
      <c r="C399" s="385" t="s">
        <v>221</v>
      </c>
      <c r="D399" s="385" t="s">
        <v>168</v>
      </c>
      <c r="K399" s="365" t="str">
        <f t="shared" si="105"/>
        <v/>
      </c>
    </row>
    <row r="400" spans="1:11" hidden="1" x14ac:dyDescent="0.25">
      <c r="A400" s="389">
        <v>10</v>
      </c>
      <c r="B400" s="389" t="e">
        <f>VLOOKUP((VLOOKUP($F$21,таблица,8,0)),рем_содер,2,0)</f>
        <v>#N/A</v>
      </c>
      <c r="C400" s="389"/>
      <c r="D400" s="390"/>
      <c r="K400" s="365" t="str">
        <f t="shared" si="105"/>
        <v/>
      </c>
    </row>
    <row r="401" spans="1:11" hidden="1" x14ac:dyDescent="0.25">
      <c r="A401" s="389" t="e">
        <f>IF(D401=0,0,A400+1)</f>
        <v>#N/A</v>
      </c>
      <c r="B401" s="390" t="e">
        <f>CONCATENATE("2015 г. (",CHOOSE(VLOOKUP(F$21,таблица,63,0),"Январь","Февраль","Март","Апрель","Май","Июнь","Июль","Август","Сентябрь","Октябрь","Ноябрь","Декабрь")," - ",CHOOSE(VLOOKUP(F$21,таблица,64,0),"Январь","Февраль","Март","Апрель","Май","Июнь","Июль","Август","Сентябрь","Октябрь","Ноябрь","Декабрь"),")")</f>
        <v>#N/A</v>
      </c>
      <c r="C401" s="389" t="s">
        <v>222</v>
      </c>
      <c r="D401" s="417" t="e">
        <f>IF(D403=0,0,VLOOKUP($F$21,таблица,69,0)*100+100)</f>
        <v>#N/A</v>
      </c>
      <c r="K401" s="365" t="e">
        <f>IF(D401=0,"",1)</f>
        <v>#N/A</v>
      </c>
    </row>
    <row r="402" spans="1:11" hidden="1" x14ac:dyDescent="0.25">
      <c r="A402" s="389" t="e">
        <f>IF(D402=0,0,IF(D401=0,A400+1,A401+1))</f>
        <v>#N/A</v>
      </c>
      <c r="B402" s="390" t="e">
        <f>CONCATENATE("2016 г. (",CHOOSE(VLOOKUP(F$21,таблица,65,0),"Январь","Февраль","Март","Апрель","Май","Июнь","Июль","Август","Сентябрь","Октябрь","Ноябрь","Декабрь")," - ",CHOOSE(VLOOKUP(F$21,таблица,66,0),"Январь","Февраль","Март","Апрель","Май","Июнь","Июль","Август","Сентябрь","Октябрь","Ноябрь","Декабрь"),")")</f>
        <v>#N/A</v>
      </c>
      <c r="C402" s="389" t="s">
        <v>222</v>
      </c>
      <c r="D402" s="417" t="e">
        <f>IF(D404=0,0,VLOOKUP($F$21,таблица,70,0)*100+100)</f>
        <v>#N/A</v>
      </c>
      <c r="K402" s="365" t="e">
        <f t="shared" ref="K402:K404" si="106">IF(D402=0,"",1)</f>
        <v>#N/A</v>
      </c>
    </row>
    <row r="403" spans="1:11" hidden="1" x14ac:dyDescent="0.25">
      <c r="A403" s="389" t="e">
        <f>IF(D403=0,0,IF(D402=0,A401+1,A402+1))</f>
        <v>#N/A</v>
      </c>
      <c r="B403" s="390" t="s">
        <v>223</v>
      </c>
      <c r="C403" s="389" t="s">
        <v>224</v>
      </c>
      <c r="D403" s="394" t="e">
        <f>VLOOKUP($F$21,таблица,46,0)</f>
        <v>#N/A</v>
      </c>
      <c r="K403" s="365" t="e">
        <f t="shared" si="106"/>
        <v>#N/A</v>
      </c>
    </row>
    <row r="404" spans="1:11" hidden="1" x14ac:dyDescent="0.25">
      <c r="A404" s="389" t="e">
        <f>IF(D404=0,0,IF(D403=0,A402+1,A403+1))</f>
        <v>#N/A</v>
      </c>
      <c r="B404" s="390" t="s">
        <v>351</v>
      </c>
      <c r="C404" s="389" t="s">
        <v>224</v>
      </c>
      <c r="D404" s="394" t="e">
        <f>VLOOKUP($F$21,таблица,56,0)</f>
        <v>#N/A</v>
      </c>
      <c r="K404" s="365" t="e">
        <f t="shared" si="106"/>
        <v>#N/A</v>
      </c>
    </row>
    <row r="405" spans="1:11" hidden="1" x14ac:dyDescent="0.25">
      <c r="A405" s="464" t="s">
        <v>225</v>
      </c>
      <c r="B405" s="464"/>
      <c r="C405" s="464"/>
      <c r="D405" s="464"/>
      <c r="K405" s="365" t="str">
        <f>IF($F$21=0,"",1)</f>
        <v/>
      </c>
    </row>
    <row r="406" spans="1:11" ht="31.5" hidden="1" x14ac:dyDescent="0.25">
      <c r="A406" s="389" t="e">
        <f>IF(D406=0,0,IF(D404=0,IF(D403=0,A400+1,A403+1),A404+1))</f>
        <v>#N/A</v>
      </c>
      <c r="B406" s="395" t="s">
        <v>275</v>
      </c>
      <c r="C406" s="389" t="s">
        <v>224</v>
      </c>
      <c r="D406" s="394" t="e">
        <f>SUM(VLOOKUP($F$21,таблица,41,0),D403)</f>
        <v>#N/A</v>
      </c>
      <c r="E406" s="365"/>
      <c r="K406" s="365" t="e">
        <f t="shared" ref="K406:K412" si="107">IF(D406=0,"",1)</f>
        <v>#N/A</v>
      </c>
    </row>
    <row r="407" spans="1:11" hidden="1" x14ac:dyDescent="0.25">
      <c r="A407" s="389" t="e">
        <f>IF(D407=0,0,A406+1)</f>
        <v>#N/A</v>
      </c>
      <c r="B407" s="395" t="s">
        <v>227</v>
      </c>
      <c r="C407" s="389" t="s">
        <v>224</v>
      </c>
      <c r="D407" s="394" t="e">
        <f>VLOOKUP($F$21,таблица,51,0)</f>
        <v>#N/A</v>
      </c>
      <c r="E407" s="365"/>
      <c r="K407" s="365" t="e">
        <f t="shared" si="107"/>
        <v>#N/A</v>
      </c>
    </row>
    <row r="408" spans="1:11" hidden="1" x14ac:dyDescent="0.25">
      <c r="A408" s="389" t="e">
        <f>IF(D408=0,0,A407+1)</f>
        <v>#N/A</v>
      </c>
      <c r="B408" s="395" t="s">
        <v>274</v>
      </c>
      <c r="C408" s="389" t="s">
        <v>224</v>
      </c>
      <c r="D408" s="397" t="e">
        <f>SUM(D406:D407)</f>
        <v>#N/A</v>
      </c>
      <c r="E408" s="391" t="e">
        <f>VLOOKUP($F$21,таблица,71,0)</f>
        <v>#N/A</v>
      </c>
      <c r="K408" s="365" t="e">
        <f t="shared" si="107"/>
        <v>#N/A</v>
      </c>
    </row>
    <row r="409" spans="1:11" ht="31.5" hidden="1" x14ac:dyDescent="0.25">
      <c r="A409" s="389" t="e">
        <f>IF(D409=0,0,IF(D408=0,IF(D404=0,A400+1,A404+1),A408+1))</f>
        <v>#N/A</v>
      </c>
      <c r="B409" s="395" t="s">
        <v>349</v>
      </c>
      <c r="C409" s="389" t="s">
        <v>224</v>
      </c>
      <c r="D409" s="394" t="e">
        <f>VLOOKUP($F$21,таблица,36,0)-VLOOKUP($F$21,таблица,41,0)+D404</f>
        <v>#N/A</v>
      </c>
      <c r="K409" s="365" t="e">
        <f t="shared" si="107"/>
        <v>#N/A</v>
      </c>
    </row>
    <row r="410" spans="1:11" hidden="1" x14ac:dyDescent="0.25">
      <c r="A410" s="389" t="e">
        <f>IF(D410=0,0,A409+1)</f>
        <v>#N/A</v>
      </c>
      <c r="B410" s="395" t="s">
        <v>227</v>
      </c>
      <c r="C410" s="389" t="s">
        <v>224</v>
      </c>
      <c r="D410" s="394" t="e">
        <f>VLOOKUP($F$21,таблица,61,0)</f>
        <v>#N/A</v>
      </c>
      <c r="K410" s="365" t="e">
        <f t="shared" si="107"/>
        <v>#N/A</v>
      </c>
    </row>
    <row r="411" spans="1:11" hidden="1" x14ac:dyDescent="0.25">
      <c r="A411" s="389" t="e">
        <f>IF(D411=0,0,A410+1)</f>
        <v>#N/A</v>
      </c>
      <c r="B411" s="395" t="s">
        <v>350</v>
      </c>
      <c r="C411" s="389" t="s">
        <v>224</v>
      </c>
      <c r="D411" s="397" t="e">
        <f>SUM(D409:D410)</f>
        <v>#N/A</v>
      </c>
      <c r="E411" s="391" t="e">
        <f>VLOOKUP($F$21,таблица,72,0)</f>
        <v>#N/A</v>
      </c>
      <c r="K411" s="365" t="e">
        <f t="shared" si="107"/>
        <v>#N/A</v>
      </c>
    </row>
    <row r="412" spans="1:11" hidden="1" x14ac:dyDescent="0.25">
      <c r="A412" s="389" t="e">
        <f>IF(D412=0,0,A411+1)</f>
        <v>#N/A</v>
      </c>
      <c r="B412" s="395" t="s">
        <v>226</v>
      </c>
      <c r="C412" s="389" t="s">
        <v>224</v>
      </c>
      <c r="D412" s="397" t="e">
        <f>IF(OR(D408=0,D411=0),0,D411+D408)</f>
        <v>#N/A</v>
      </c>
      <c r="E412" s="391" t="e">
        <f>VLOOKUP($F$21,таблица,62,0)</f>
        <v>#N/A</v>
      </c>
      <c r="K412" s="365" t="e">
        <f t="shared" si="107"/>
        <v>#N/A</v>
      </c>
    </row>
    <row r="413" spans="1:11" hidden="1" x14ac:dyDescent="0.25">
      <c r="A413" s="400"/>
      <c r="B413" s="400"/>
      <c r="C413" s="400"/>
      <c r="D413" s="401"/>
      <c r="K413" s="365" t="str">
        <f>IF($F$21=0,"",1)</f>
        <v/>
      </c>
    </row>
    <row r="414" spans="1:11" ht="47.25" hidden="1" customHeight="1" x14ac:dyDescent="0.25">
      <c r="A414" s="465" t="str">
        <f>'Анализ стоимости'!$I$58</f>
        <v>Начальник финансового отдела</v>
      </c>
      <c r="B414" s="466"/>
      <c r="C414" s="402"/>
      <c r="D414" s="403" t="str">
        <f>'Анализ стоимости'!$I$59</f>
        <v>А.Ю.Кашуба</v>
      </c>
      <c r="H414" s="405" t="str">
        <f>A414</f>
        <v>Начальник финансового отдела</v>
      </c>
      <c r="K414" s="365" t="str">
        <f>IF($F$21=0,"",1)</f>
        <v/>
      </c>
    </row>
    <row r="415" spans="1:11" hidden="1" x14ac:dyDescent="0.25">
      <c r="A415" s="407"/>
      <c r="B415" s="407"/>
      <c r="C415" s="407"/>
      <c r="D415" s="408"/>
      <c r="K415" s="365" t="str">
        <f>IF($F$21=0,"",1)</f>
        <v/>
      </c>
    </row>
    <row r="416" spans="1:11" hidden="1" x14ac:dyDescent="0.25">
      <c r="A416" s="462">
        <f ca="1">TODAY()</f>
        <v>42101</v>
      </c>
      <c r="B416" s="462"/>
      <c r="C416" s="371"/>
      <c r="D416" s="371"/>
      <c r="K416" s="365" t="str">
        <f>IF($F$21=0,"",1)</f>
        <v/>
      </c>
    </row>
    <row r="417" spans="1:11" hidden="1" x14ac:dyDescent="0.25">
      <c r="A417" s="463" t="s">
        <v>254</v>
      </c>
      <c r="B417" s="463"/>
      <c r="C417" s="463"/>
      <c r="D417" s="463"/>
      <c r="H417" s="369"/>
      <c r="I417" s="369"/>
      <c r="K417" s="365" t="str">
        <f t="shared" ref="K417:K434" si="108">IF($F$22=0,"",1)</f>
        <v/>
      </c>
    </row>
    <row r="418" spans="1:11" ht="47.25" hidden="1" customHeight="1" x14ac:dyDescent="0.2">
      <c r="A418" s="458" t="e">
        <f>CONCATENATE("Наименование объекта: ",VLOOKUP($F$22,таблица,9,0))</f>
        <v>#N/A</v>
      </c>
      <c r="B418" s="458"/>
      <c r="C418" s="458"/>
      <c r="D418" s="458"/>
      <c r="J418" s="414" t="e">
        <f>A418</f>
        <v>#N/A</v>
      </c>
      <c r="K418" s="365" t="str">
        <f t="shared" si="108"/>
        <v/>
      </c>
    </row>
    <row r="419" spans="1:11" hidden="1" x14ac:dyDescent="0.25">
      <c r="A419" s="383"/>
      <c r="B419" s="372"/>
      <c r="C419" s="372"/>
      <c r="D419" s="372"/>
      <c r="K419" s="365" t="str">
        <f t="shared" si="108"/>
        <v/>
      </c>
    </row>
    <row r="420" spans="1:11" hidden="1" x14ac:dyDescent="0.25">
      <c r="A420" s="415" t="s">
        <v>218</v>
      </c>
      <c r="B420" s="378"/>
      <c r="C420" s="378"/>
      <c r="D420" s="378"/>
      <c r="K420" s="365" t="str">
        <f t="shared" si="108"/>
        <v/>
      </c>
    </row>
    <row r="421" spans="1:11" hidden="1" x14ac:dyDescent="0.25">
      <c r="A421" s="459" t="s">
        <v>219</v>
      </c>
      <c r="B421" s="459"/>
      <c r="C421" s="459"/>
      <c r="D421" s="459"/>
      <c r="K421" s="365" t="str">
        <f t="shared" si="108"/>
        <v/>
      </c>
    </row>
    <row r="422" spans="1:11" ht="31.5" hidden="1" x14ac:dyDescent="0.25">
      <c r="A422" s="385" t="s">
        <v>111</v>
      </c>
      <c r="B422" s="385" t="s">
        <v>167</v>
      </c>
      <c r="C422" s="460" t="e">
        <f>CONCATENATE("Стоимость  согласно сметной документации (руб.) в текущих ценах по состоянию на ",VLOOKUP($F$22,таблица,5,0)," г.")</f>
        <v>#N/A</v>
      </c>
      <c r="D422" s="461"/>
      <c r="I422" s="386" t="e">
        <f>C422</f>
        <v>#N/A</v>
      </c>
      <c r="K422" s="365" t="str">
        <f t="shared" si="108"/>
        <v/>
      </c>
    </row>
    <row r="423" spans="1:11" hidden="1" x14ac:dyDescent="0.25">
      <c r="A423" s="389">
        <v>1</v>
      </c>
      <c r="B423" s="390" t="s">
        <v>68</v>
      </c>
      <c r="C423" s="455" t="e">
        <f>VLOOKUP($F$22,таблица,10,0)</f>
        <v>#N/A</v>
      </c>
      <c r="D423" s="456"/>
      <c r="K423" s="365" t="str">
        <f t="shared" si="108"/>
        <v/>
      </c>
    </row>
    <row r="424" spans="1:11" hidden="1" x14ac:dyDescent="0.25">
      <c r="A424" s="389">
        <v>2</v>
      </c>
      <c r="B424" s="390" t="s">
        <v>58</v>
      </c>
      <c r="C424" s="455" t="e">
        <f>VLOOKUP($F$22,таблица,11,0)</f>
        <v>#N/A</v>
      </c>
      <c r="D424" s="456"/>
      <c r="K424" s="365" t="str">
        <f t="shared" si="108"/>
        <v/>
      </c>
    </row>
    <row r="425" spans="1:11" ht="31.5" hidden="1" x14ac:dyDescent="0.25">
      <c r="A425" s="389">
        <v>3</v>
      </c>
      <c r="B425" s="390" t="s">
        <v>8</v>
      </c>
      <c r="C425" s="455" t="e">
        <f>VLOOKUP($F$22,таблица,12,0)</f>
        <v>#N/A</v>
      </c>
      <c r="D425" s="456"/>
      <c r="K425" s="365" t="str">
        <f t="shared" si="108"/>
        <v/>
      </c>
    </row>
    <row r="426" spans="1:11" hidden="1" x14ac:dyDescent="0.25">
      <c r="A426" s="389">
        <v>4</v>
      </c>
      <c r="B426" s="390" t="s">
        <v>59</v>
      </c>
      <c r="C426" s="455" t="e">
        <f>VLOOKUP($F$22,таблица,13,0)</f>
        <v>#N/A</v>
      </c>
      <c r="D426" s="456"/>
      <c r="K426" s="365" t="str">
        <f t="shared" si="108"/>
        <v/>
      </c>
    </row>
    <row r="427" spans="1:11" hidden="1" x14ac:dyDescent="0.25">
      <c r="A427" s="389">
        <v>5</v>
      </c>
      <c r="B427" s="390" t="s">
        <v>14</v>
      </c>
      <c r="C427" s="455" t="e">
        <f>VLOOKUP($F$22,таблица,14,0)</f>
        <v>#N/A</v>
      </c>
      <c r="D427" s="456"/>
      <c r="K427" s="365" t="str">
        <f t="shared" si="108"/>
        <v/>
      </c>
    </row>
    <row r="428" spans="1:11" hidden="1" x14ac:dyDescent="0.25">
      <c r="A428" s="389">
        <v>6</v>
      </c>
      <c r="B428" s="390" t="s">
        <v>23</v>
      </c>
      <c r="C428" s="455" t="e">
        <f>VLOOKUP($F$22,таблица,18,0)</f>
        <v>#N/A</v>
      </c>
      <c r="D428" s="456"/>
      <c r="K428" s="365" t="str">
        <f t="shared" si="108"/>
        <v/>
      </c>
    </row>
    <row r="429" spans="1:11" hidden="1" x14ac:dyDescent="0.25">
      <c r="A429" s="389">
        <v>7</v>
      </c>
      <c r="B429" s="390" t="s">
        <v>156</v>
      </c>
      <c r="C429" s="455" t="e">
        <f>VLOOKUP($F$22,таблица,19,0)+VLOOKUP($F$22,таблица,21,0)+VLOOKUP($F$22,таблица,22,0)+VLOOKUP($F$22,таблица,23,0)+VLOOKUP($F$22,таблица,24,0)+VLOOKUP($F$22,таблица,25,0)+VLOOKUP($F$22,таблица,26,0)</f>
        <v>#N/A</v>
      </c>
      <c r="D429" s="456"/>
      <c r="K429" s="365" t="str">
        <f t="shared" si="108"/>
        <v/>
      </c>
    </row>
    <row r="430" spans="1:11" hidden="1" x14ac:dyDescent="0.25">
      <c r="A430" s="389">
        <v>8</v>
      </c>
      <c r="B430" s="390" t="s">
        <v>101</v>
      </c>
      <c r="C430" s="455" t="e">
        <f>VLOOKUP($F$22,таблица,31,0)</f>
        <v>#N/A</v>
      </c>
      <c r="D430" s="456"/>
      <c r="K430" s="365" t="str">
        <f t="shared" si="108"/>
        <v/>
      </c>
    </row>
    <row r="431" spans="1:11" hidden="1" x14ac:dyDescent="0.25">
      <c r="A431" s="389">
        <v>9</v>
      </c>
      <c r="B431" s="390" t="s">
        <v>241</v>
      </c>
      <c r="C431" s="455" t="e">
        <f>SUM(C423:D430)</f>
        <v>#N/A</v>
      </c>
      <c r="D431" s="456"/>
      <c r="K431" s="365" t="str">
        <f t="shared" si="108"/>
        <v/>
      </c>
    </row>
    <row r="432" spans="1:11" hidden="1" x14ac:dyDescent="0.25">
      <c r="A432" s="464" t="s">
        <v>231</v>
      </c>
      <c r="B432" s="464"/>
      <c r="C432" s="464"/>
      <c r="D432" s="464"/>
      <c r="K432" s="365" t="str">
        <f t="shared" si="108"/>
        <v/>
      </c>
    </row>
    <row r="433" spans="1:11" ht="31.5" hidden="1" x14ac:dyDescent="0.25">
      <c r="A433" s="392" t="s">
        <v>111</v>
      </c>
      <c r="B433" s="385" t="s">
        <v>36</v>
      </c>
      <c r="C433" s="385" t="s">
        <v>221</v>
      </c>
      <c r="D433" s="385" t="s">
        <v>168</v>
      </c>
      <c r="K433" s="365" t="str">
        <f t="shared" si="108"/>
        <v/>
      </c>
    </row>
    <row r="434" spans="1:11" hidden="1" x14ac:dyDescent="0.25">
      <c r="A434" s="389">
        <v>10</v>
      </c>
      <c r="B434" s="389" t="e">
        <f>VLOOKUP((VLOOKUP($F$22,таблица,8,0)),рем_содер,2,0)</f>
        <v>#N/A</v>
      </c>
      <c r="C434" s="389"/>
      <c r="D434" s="390"/>
      <c r="K434" s="365" t="str">
        <f t="shared" si="108"/>
        <v/>
      </c>
    </row>
    <row r="435" spans="1:11" hidden="1" x14ac:dyDescent="0.25">
      <c r="A435" s="389" t="e">
        <f>IF(D435=0,0,A434+1)</f>
        <v>#N/A</v>
      </c>
      <c r="B435" s="390" t="e">
        <f>CONCATENATE("2015 г. (",CHOOSE(VLOOKUP(F$22,таблица,63,0),"Январь","Февраль","Март","Апрель","Май","Июнь","Июль","Август","Сентябрь","Октябрь","Ноябрь","Декабрь")," - ",CHOOSE(VLOOKUP(F$22,таблица,64,0),"Январь","Февраль","Март","Апрель","Май","Июнь","Июль","Август","Сентябрь","Октябрь","Ноябрь","Декабрь"),")")</f>
        <v>#N/A</v>
      </c>
      <c r="C435" s="389" t="s">
        <v>222</v>
      </c>
      <c r="D435" s="417" t="e">
        <f>IF(D437=0,0,VLOOKUP($F$22,таблица,69,0)*100+100)</f>
        <v>#N/A</v>
      </c>
      <c r="K435" s="365" t="e">
        <f>IF(D435=0,"",1)</f>
        <v>#N/A</v>
      </c>
    </row>
    <row r="436" spans="1:11" hidden="1" x14ac:dyDescent="0.25">
      <c r="A436" s="389" t="e">
        <f>IF(D436=0,0,IF(D435=0,A434+1,A435+1))</f>
        <v>#N/A</v>
      </c>
      <c r="B436" s="390" t="e">
        <f>CONCATENATE("2016 г. (",CHOOSE(VLOOKUP(F$22,таблица,65,0),"Январь","Февраль","Март","Апрель","Май","Июнь","Июль","Август","Сентябрь","Октябрь","Ноябрь","Декабрь")," - ",CHOOSE(VLOOKUP(F$22,таблица,66,0),"Январь","Февраль","Март","Апрель","Май","Июнь","Июль","Август","Сентябрь","Октябрь","Ноябрь","Декабрь"),")")</f>
        <v>#N/A</v>
      </c>
      <c r="C436" s="389" t="s">
        <v>222</v>
      </c>
      <c r="D436" s="417" t="e">
        <f>IF(D438=0,0,VLOOKUP($F$22,таблица,70,0)*100+100)</f>
        <v>#N/A</v>
      </c>
      <c r="K436" s="365" t="e">
        <f t="shared" ref="K436:K438" si="109">IF(D436=0,"",1)</f>
        <v>#N/A</v>
      </c>
    </row>
    <row r="437" spans="1:11" hidden="1" x14ac:dyDescent="0.25">
      <c r="A437" s="389" t="e">
        <f>IF(D437=0,0,IF(D436=0,A435+1,A436+1))</f>
        <v>#N/A</v>
      </c>
      <c r="B437" s="390" t="s">
        <v>223</v>
      </c>
      <c r="C437" s="389" t="s">
        <v>224</v>
      </c>
      <c r="D437" s="394" t="e">
        <f>VLOOKUP($F$22,таблица,46,0)</f>
        <v>#N/A</v>
      </c>
      <c r="K437" s="365" t="e">
        <f t="shared" si="109"/>
        <v>#N/A</v>
      </c>
    </row>
    <row r="438" spans="1:11" hidden="1" x14ac:dyDescent="0.25">
      <c r="A438" s="389" t="e">
        <f>IF(D438=0,0,IF(D437=0,A436+1,A437+1))</f>
        <v>#N/A</v>
      </c>
      <c r="B438" s="390" t="s">
        <v>351</v>
      </c>
      <c r="C438" s="389" t="s">
        <v>224</v>
      </c>
      <c r="D438" s="394" t="e">
        <f>VLOOKUP($F$22,таблица,56,0)</f>
        <v>#N/A</v>
      </c>
      <c r="K438" s="365" t="e">
        <f t="shared" si="109"/>
        <v>#N/A</v>
      </c>
    </row>
    <row r="439" spans="1:11" hidden="1" x14ac:dyDescent="0.25">
      <c r="A439" s="464" t="s">
        <v>225</v>
      </c>
      <c r="B439" s="464"/>
      <c r="C439" s="464"/>
      <c r="D439" s="464"/>
      <c r="K439" s="365" t="str">
        <f>IF($F$22=0,"",1)</f>
        <v/>
      </c>
    </row>
    <row r="440" spans="1:11" ht="31.5" hidden="1" x14ac:dyDescent="0.25">
      <c r="A440" s="389" t="e">
        <f>IF(D440=0,0,IF(D438=0,IF(D437=0,A434+1,A437+1),A438+1))</f>
        <v>#N/A</v>
      </c>
      <c r="B440" s="395" t="s">
        <v>275</v>
      </c>
      <c r="C440" s="389" t="s">
        <v>224</v>
      </c>
      <c r="D440" s="394" t="e">
        <f>SUM(VLOOKUP($F$22,таблица,41,0),D437)</f>
        <v>#N/A</v>
      </c>
      <c r="E440" s="365"/>
      <c r="K440" s="365" t="e">
        <f t="shared" ref="K440:K446" si="110">IF(D440=0,"",1)</f>
        <v>#N/A</v>
      </c>
    </row>
    <row r="441" spans="1:11" hidden="1" x14ac:dyDescent="0.25">
      <c r="A441" s="389" t="e">
        <f>IF(D441=0,0,A440+1)</f>
        <v>#N/A</v>
      </c>
      <c r="B441" s="395" t="s">
        <v>227</v>
      </c>
      <c r="C441" s="389" t="s">
        <v>224</v>
      </c>
      <c r="D441" s="394" t="e">
        <f>VLOOKUP($F$22,таблица,51,0)</f>
        <v>#N/A</v>
      </c>
      <c r="E441" s="365"/>
      <c r="K441" s="365" t="e">
        <f t="shared" si="110"/>
        <v>#N/A</v>
      </c>
    </row>
    <row r="442" spans="1:11" hidden="1" x14ac:dyDescent="0.25">
      <c r="A442" s="389" t="e">
        <f>IF(D442=0,0,A441+1)</f>
        <v>#N/A</v>
      </c>
      <c r="B442" s="395" t="s">
        <v>274</v>
      </c>
      <c r="C442" s="389" t="s">
        <v>224</v>
      </c>
      <c r="D442" s="397" t="e">
        <f>SUM(D440:D441)</f>
        <v>#N/A</v>
      </c>
      <c r="E442" s="391" t="e">
        <f>VLOOKUP($F$22,таблица,71,0)</f>
        <v>#N/A</v>
      </c>
      <c r="K442" s="365" t="e">
        <f t="shared" si="110"/>
        <v>#N/A</v>
      </c>
    </row>
    <row r="443" spans="1:11" ht="31.5" hidden="1" x14ac:dyDescent="0.25">
      <c r="A443" s="389" t="e">
        <f>IF(D443=0,0,IF(D442=0,IF(D438=0,A434+1,A438+1),A442+1))</f>
        <v>#N/A</v>
      </c>
      <c r="B443" s="395" t="s">
        <v>349</v>
      </c>
      <c r="C443" s="389" t="s">
        <v>224</v>
      </c>
      <c r="D443" s="394" t="e">
        <f>VLOOKUP($F$22,таблица,36,0)-VLOOKUP($F$22,таблица,41,0)+D438</f>
        <v>#N/A</v>
      </c>
      <c r="K443" s="365" t="e">
        <f t="shared" si="110"/>
        <v>#N/A</v>
      </c>
    </row>
    <row r="444" spans="1:11" hidden="1" x14ac:dyDescent="0.25">
      <c r="A444" s="389" t="e">
        <f>IF(D444=0,0,A443+1)</f>
        <v>#N/A</v>
      </c>
      <c r="B444" s="395" t="s">
        <v>227</v>
      </c>
      <c r="C444" s="389" t="s">
        <v>224</v>
      </c>
      <c r="D444" s="394" t="e">
        <f>VLOOKUP($F$22,таблица,61,0)</f>
        <v>#N/A</v>
      </c>
      <c r="K444" s="365" t="e">
        <f t="shared" si="110"/>
        <v>#N/A</v>
      </c>
    </row>
    <row r="445" spans="1:11" hidden="1" x14ac:dyDescent="0.25">
      <c r="A445" s="389" t="e">
        <f>IF(D445=0,0,A444+1)</f>
        <v>#N/A</v>
      </c>
      <c r="B445" s="395" t="s">
        <v>350</v>
      </c>
      <c r="C445" s="389" t="s">
        <v>224</v>
      </c>
      <c r="D445" s="397" t="e">
        <f>SUM(D443:D444)</f>
        <v>#N/A</v>
      </c>
      <c r="E445" s="391" t="e">
        <f>VLOOKUP($F$22,таблица,72,0)</f>
        <v>#N/A</v>
      </c>
      <c r="K445" s="365" t="e">
        <f t="shared" si="110"/>
        <v>#N/A</v>
      </c>
    </row>
    <row r="446" spans="1:11" hidden="1" x14ac:dyDescent="0.25">
      <c r="A446" s="389" t="e">
        <f>IF(D446=0,0,A445+1)</f>
        <v>#N/A</v>
      </c>
      <c r="B446" s="395" t="s">
        <v>226</v>
      </c>
      <c r="C446" s="389" t="s">
        <v>224</v>
      </c>
      <c r="D446" s="397" t="e">
        <f>IF(OR(D442=0,D445=0),0,D445+D442)</f>
        <v>#N/A</v>
      </c>
      <c r="E446" s="391" t="e">
        <f>VLOOKUP($F$22,таблица,62,0)</f>
        <v>#N/A</v>
      </c>
      <c r="K446" s="365" t="e">
        <f t="shared" si="110"/>
        <v>#N/A</v>
      </c>
    </row>
    <row r="447" spans="1:11" hidden="1" x14ac:dyDescent="0.25">
      <c r="A447" s="400"/>
      <c r="B447" s="400"/>
      <c r="C447" s="400"/>
      <c r="D447" s="401"/>
      <c r="K447" s="365" t="str">
        <f>IF($F$22=0,"",1)</f>
        <v/>
      </c>
    </row>
    <row r="448" spans="1:11" ht="47.25" hidden="1" customHeight="1" x14ac:dyDescent="0.25">
      <c r="A448" s="465" t="str">
        <f>'Анализ стоимости'!$I$58</f>
        <v>Начальник финансового отдела</v>
      </c>
      <c r="B448" s="466"/>
      <c r="C448" s="402"/>
      <c r="D448" s="403" t="str">
        <f>'Анализ стоимости'!$I$59</f>
        <v>А.Ю.Кашуба</v>
      </c>
      <c r="H448" s="405" t="str">
        <f>A448</f>
        <v>Начальник финансового отдела</v>
      </c>
      <c r="K448" s="365" t="str">
        <f>IF($F$22=0,"",1)</f>
        <v/>
      </c>
    </row>
    <row r="449" spans="1:11" hidden="1" x14ac:dyDescent="0.25">
      <c r="A449" s="407"/>
      <c r="B449" s="407"/>
      <c r="C449" s="407"/>
      <c r="D449" s="408"/>
      <c r="K449" s="365" t="str">
        <f>IF($F$22=0,"",1)</f>
        <v/>
      </c>
    </row>
    <row r="450" spans="1:11" hidden="1" x14ac:dyDescent="0.25">
      <c r="A450" s="462">
        <f ca="1">TODAY()</f>
        <v>42101</v>
      </c>
      <c r="B450" s="462"/>
      <c r="C450" s="371"/>
      <c r="D450" s="371"/>
      <c r="K450" s="365" t="str">
        <f>IF($F$22=0,"",1)</f>
        <v/>
      </c>
    </row>
    <row r="451" spans="1:11" hidden="1" x14ac:dyDescent="0.25">
      <c r="A451" s="463" t="s">
        <v>255</v>
      </c>
      <c r="B451" s="463"/>
      <c r="C451" s="463"/>
      <c r="D451" s="463"/>
      <c r="H451" s="369"/>
      <c r="I451" s="369"/>
      <c r="K451" s="365" t="str">
        <f t="shared" ref="K451:K468" si="111">IF($F$23=0,"",1)</f>
        <v/>
      </c>
    </row>
    <row r="452" spans="1:11" ht="47.25" hidden="1" customHeight="1" x14ac:dyDescent="0.2">
      <c r="A452" s="458" t="e">
        <f>CONCATENATE("Наименование объекта: ",VLOOKUP($F$23,таблица,9,0))</f>
        <v>#N/A</v>
      </c>
      <c r="B452" s="458"/>
      <c r="C452" s="458"/>
      <c r="D452" s="458"/>
      <c r="J452" s="414" t="e">
        <f>A452</f>
        <v>#N/A</v>
      </c>
      <c r="K452" s="365" t="str">
        <f t="shared" si="111"/>
        <v/>
      </c>
    </row>
    <row r="453" spans="1:11" hidden="1" x14ac:dyDescent="0.25">
      <c r="A453" s="383"/>
      <c r="B453" s="372"/>
      <c r="C453" s="372"/>
      <c r="D453" s="372"/>
      <c r="K453" s="365" t="str">
        <f t="shared" si="111"/>
        <v/>
      </c>
    </row>
    <row r="454" spans="1:11" hidden="1" x14ac:dyDescent="0.25">
      <c r="A454" s="415" t="s">
        <v>218</v>
      </c>
      <c r="B454" s="378"/>
      <c r="C454" s="378"/>
      <c r="D454" s="378"/>
      <c r="K454" s="365" t="str">
        <f t="shared" si="111"/>
        <v/>
      </c>
    </row>
    <row r="455" spans="1:11" hidden="1" x14ac:dyDescent="0.25">
      <c r="A455" s="459" t="s">
        <v>219</v>
      </c>
      <c r="B455" s="459"/>
      <c r="C455" s="459"/>
      <c r="D455" s="459"/>
      <c r="K455" s="365" t="str">
        <f t="shared" si="111"/>
        <v/>
      </c>
    </row>
    <row r="456" spans="1:11" ht="31.5" hidden="1" x14ac:dyDescent="0.25">
      <c r="A456" s="385" t="s">
        <v>111</v>
      </c>
      <c r="B456" s="385" t="s">
        <v>167</v>
      </c>
      <c r="C456" s="460" t="e">
        <f>CONCATENATE("Стоимость  согласно сметной документации (руб.) в текущих ценах по состоянию на ",VLOOKUP($F$23,таблица,5,0)," г.")</f>
        <v>#N/A</v>
      </c>
      <c r="D456" s="461"/>
      <c r="I456" s="386" t="e">
        <f>C456</f>
        <v>#N/A</v>
      </c>
      <c r="K456" s="365" t="str">
        <f t="shared" si="111"/>
        <v/>
      </c>
    </row>
    <row r="457" spans="1:11" hidden="1" x14ac:dyDescent="0.25">
      <c r="A457" s="389">
        <v>1</v>
      </c>
      <c r="B457" s="390" t="s">
        <v>68</v>
      </c>
      <c r="C457" s="455" t="e">
        <f>VLOOKUP($F$23,таблица,10,0)</f>
        <v>#N/A</v>
      </c>
      <c r="D457" s="456"/>
      <c r="K457" s="365" t="str">
        <f t="shared" si="111"/>
        <v/>
      </c>
    </row>
    <row r="458" spans="1:11" hidden="1" x14ac:dyDescent="0.25">
      <c r="A458" s="389">
        <v>2</v>
      </c>
      <c r="B458" s="390" t="s">
        <v>58</v>
      </c>
      <c r="C458" s="455" t="e">
        <f>VLOOKUP($F$23,таблица,11,0)</f>
        <v>#N/A</v>
      </c>
      <c r="D458" s="456"/>
      <c r="K458" s="365" t="str">
        <f t="shared" si="111"/>
        <v/>
      </c>
    </row>
    <row r="459" spans="1:11" ht="31.5" hidden="1" x14ac:dyDescent="0.25">
      <c r="A459" s="389">
        <v>3</v>
      </c>
      <c r="B459" s="390" t="s">
        <v>8</v>
      </c>
      <c r="C459" s="455" t="e">
        <f>VLOOKUP($F$23,таблица,12,0)</f>
        <v>#N/A</v>
      </c>
      <c r="D459" s="456"/>
      <c r="K459" s="365" t="str">
        <f t="shared" si="111"/>
        <v/>
      </c>
    </row>
    <row r="460" spans="1:11" hidden="1" x14ac:dyDescent="0.25">
      <c r="A460" s="389">
        <v>4</v>
      </c>
      <c r="B460" s="390" t="s">
        <v>59</v>
      </c>
      <c r="C460" s="455" t="e">
        <f>VLOOKUP($F$23,таблица,13,0)</f>
        <v>#N/A</v>
      </c>
      <c r="D460" s="456"/>
      <c r="K460" s="365" t="str">
        <f t="shared" si="111"/>
        <v/>
      </c>
    </row>
    <row r="461" spans="1:11" hidden="1" x14ac:dyDescent="0.25">
      <c r="A461" s="389">
        <v>5</v>
      </c>
      <c r="B461" s="390" t="s">
        <v>14</v>
      </c>
      <c r="C461" s="455" t="e">
        <f>VLOOKUP($F$23,таблица,14,0)</f>
        <v>#N/A</v>
      </c>
      <c r="D461" s="456"/>
      <c r="K461" s="365" t="str">
        <f t="shared" si="111"/>
        <v/>
      </c>
    </row>
    <row r="462" spans="1:11" hidden="1" x14ac:dyDescent="0.25">
      <c r="A462" s="389">
        <v>6</v>
      </c>
      <c r="B462" s="390" t="s">
        <v>23</v>
      </c>
      <c r="C462" s="455" t="e">
        <f>VLOOKUP($F$23,таблица,18,0)</f>
        <v>#N/A</v>
      </c>
      <c r="D462" s="456"/>
      <c r="K462" s="365" t="str">
        <f t="shared" si="111"/>
        <v/>
      </c>
    </row>
    <row r="463" spans="1:11" hidden="1" x14ac:dyDescent="0.25">
      <c r="A463" s="389">
        <v>7</v>
      </c>
      <c r="B463" s="390" t="s">
        <v>156</v>
      </c>
      <c r="C463" s="455" t="e">
        <f>VLOOKUP($F$23,таблица,19,0)+VLOOKUP($F$23,таблица,21,0)+VLOOKUP($F$23,таблица,22,0)+VLOOKUP($F$23,таблица,23,0)+VLOOKUP($F$23,таблица,24,0)+VLOOKUP($F$23,таблица,25,0)+VLOOKUP($F$23,таблица,26,0)</f>
        <v>#N/A</v>
      </c>
      <c r="D463" s="456"/>
      <c r="K463" s="365" t="str">
        <f t="shared" si="111"/>
        <v/>
      </c>
    </row>
    <row r="464" spans="1:11" hidden="1" x14ac:dyDescent="0.25">
      <c r="A464" s="389">
        <v>8</v>
      </c>
      <c r="B464" s="390" t="s">
        <v>101</v>
      </c>
      <c r="C464" s="455" t="e">
        <f>VLOOKUP($F$23,таблица,31,0)</f>
        <v>#N/A</v>
      </c>
      <c r="D464" s="456"/>
      <c r="K464" s="365" t="str">
        <f t="shared" si="111"/>
        <v/>
      </c>
    </row>
    <row r="465" spans="1:11" hidden="1" x14ac:dyDescent="0.25">
      <c r="A465" s="389">
        <v>9</v>
      </c>
      <c r="B465" s="390" t="s">
        <v>241</v>
      </c>
      <c r="C465" s="455" t="e">
        <f>SUM(C457:D464)</f>
        <v>#N/A</v>
      </c>
      <c r="D465" s="456"/>
      <c r="K465" s="365" t="str">
        <f t="shared" si="111"/>
        <v/>
      </c>
    </row>
    <row r="466" spans="1:11" hidden="1" x14ac:dyDescent="0.25">
      <c r="A466" s="464" t="s">
        <v>231</v>
      </c>
      <c r="B466" s="464"/>
      <c r="C466" s="464"/>
      <c r="D466" s="464"/>
      <c r="K466" s="365" t="str">
        <f t="shared" si="111"/>
        <v/>
      </c>
    </row>
    <row r="467" spans="1:11" ht="31.5" hidden="1" x14ac:dyDescent="0.25">
      <c r="A467" s="392" t="s">
        <v>111</v>
      </c>
      <c r="B467" s="385" t="s">
        <v>36</v>
      </c>
      <c r="C467" s="385" t="s">
        <v>221</v>
      </c>
      <c r="D467" s="385" t="s">
        <v>168</v>
      </c>
      <c r="K467" s="365" t="str">
        <f t="shared" si="111"/>
        <v/>
      </c>
    </row>
    <row r="468" spans="1:11" hidden="1" x14ac:dyDescent="0.25">
      <c r="A468" s="389">
        <v>10</v>
      </c>
      <c r="B468" s="389" t="e">
        <f>VLOOKUP((VLOOKUP($F$23,таблица,8,0)),рем_содер,2,0)</f>
        <v>#N/A</v>
      </c>
      <c r="C468" s="389"/>
      <c r="D468" s="390"/>
      <c r="K468" s="365" t="str">
        <f t="shared" si="111"/>
        <v/>
      </c>
    </row>
    <row r="469" spans="1:11" hidden="1" x14ac:dyDescent="0.25">
      <c r="A469" s="389" t="e">
        <f>IF(D469=0,0,A468+1)</f>
        <v>#N/A</v>
      </c>
      <c r="B469" s="390" t="e">
        <f>CONCATENATE("2015 г. (",CHOOSE(VLOOKUP(F$23,таблица,63,0),"Январь","Февраль","Март","Апрель","Май","Июнь","Июль","Август","Сентябрь","Октябрь","Ноябрь","Декабрь")," - ",CHOOSE(VLOOKUP(F$23,таблица,64,0),"Январь","Февраль","Март","Апрель","Май","Июнь","Июль","Август","Сентябрь","Октябрь","Ноябрь","Декабрь"),")")</f>
        <v>#N/A</v>
      </c>
      <c r="C469" s="389" t="s">
        <v>222</v>
      </c>
      <c r="D469" s="417" t="e">
        <f>IF(D471=0,0,VLOOKUP($F$23,таблица,69,0)*100+100)</f>
        <v>#N/A</v>
      </c>
      <c r="K469" s="365" t="e">
        <f>IF(D469=0,"",1)</f>
        <v>#N/A</v>
      </c>
    </row>
    <row r="470" spans="1:11" hidden="1" x14ac:dyDescent="0.25">
      <c r="A470" s="389" t="e">
        <f>IF(D470=0,0,IF(D469=0,A468+1,A469+1))</f>
        <v>#N/A</v>
      </c>
      <c r="B470" s="390" t="e">
        <f>CONCATENATE("2016 г. (",CHOOSE(VLOOKUP(F$23,таблица,65,0),"Январь","Февраль","Март","Апрель","Май","Июнь","Июль","Август","Сентябрь","Октябрь","Ноябрь","Декабрь")," - ",CHOOSE(VLOOKUP(F$23,таблица,66,0),"Январь","Февраль","Март","Апрель","Май","Июнь","Июль","Август","Сентябрь","Октябрь","Ноябрь","Декабрь"),")")</f>
        <v>#N/A</v>
      </c>
      <c r="C470" s="389" t="s">
        <v>222</v>
      </c>
      <c r="D470" s="417" t="e">
        <f>IF(D472=0,0,VLOOKUP($F$23,таблица,70,0)*100+100)</f>
        <v>#N/A</v>
      </c>
      <c r="K470" s="365" t="e">
        <f t="shared" ref="K470:K472" si="112">IF(D470=0,"",1)</f>
        <v>#N/A</v>
      </c>
    </row>
    <row r="471" spans="1:11" hidden="1" x14ac:dyDescent="0.25">
      <c r="A471" s="389" t="e">
        <f>IF(D471=0,0,IF(D470=0,A469+1,A470+1))</f>
        <v>#N/A</v>
      </c>
      <c r="B471" s="390" t="s">
        <v>223</v>
      </c>
      <c r="C471" s="389" t="s">
        <v>224</v>
      </c>
      <c r="D471" s="394" t="e">
        <f>VLOOKUP($F$23,таблица,46,0)</f>
        <v>#N/A</v>
      </c>
      <c r="K471" s="365" t="e">
        <f t="shared" si="112"/>
        <v>#N/A</v>
      </c>
    </row>
    <row r="472" spans="1:11" hidden="1" x14ac:dyDescent="0.25">
      <c r="A472" s="389" t="e">
        <f>IF(D472=0,0,IF(D471=0,A470+1,A471+1))</f>
        <v>#N/A</v>
      </c>
      <c r="B472" s="390" t="s">
        <v>351</v>
      </c>
      <c r="C472" s="389" t="s">
        <v>224</v>
      </c>
      <c r="D472" s="394" t="e">
        <f>VLOOKUP($F$23,таблица,56,0)</f>
        <v>#N/A</v>
      </c>
      <c r="K472" s="365" t="e">
        <f t="shared" si="112"/>
        <v>#N/A</v>
      </c>
    </row>
    <row r="473" spans="1:11" hidden="1" x14ac:dyDescent="0.25">
      <c r="A473" s="464" t="s">
        <v>225</v>
      </c>
      <c r="B473" s="464"/>
      <c r="C473" s="464"/>
      <c r="D473" s="464"/>
      <c r="K473" s="365" t="str">
        <f>IF($F$23=0,"",1)</f>
        <v/>
      </c>
    </row>
    <row r="474" spans="1:11" ht="31.5" hidden="1" x14ac:dyDescent="0.25">
      <c r="A474" s="389" t="e">
        <f>IF(D474=0,0,IF(D472=0,IF(D471=0,A468+1,A471+1),A472+1))</f>
        <v>#N/A</v>
      </c>
      <c r="B474" s="395" t="s">
        <v>275</v>
      </c>
      <c r="C474" s="389" t="s">
        <v>224</v>
      </c>
      <c r="D474" s="394" t="e">
        <f>SUM(VLOOKUP($F$23,таблица,41,0),D471)</f>
        <v>#N/A</v>
      </c>
      <c r="E474" s="365"/>
      <c r="K474" s="365" t="e">
        <f t="shared" ref="K474:K480" si="113">IF(D474=0,"",1)</f>
        <v>#N/A</v>
      </c>
    </row>
    <row r="475" spans="1:11" hidden="1" x14ac:dyDescent="0.25">
      <c r="A475" s="389" t="e">
        <f>IF(D475=0,0,A474+1)</f>
        <v>#N/A</v>
      </c>
      <c r="B475" s="395" t="s">
        <v>227</v>
      </c>
      <c r="C475" s="389" t="s">
        <v>224</v>
      </c>
      <c r="D475" s="394" t="e">
        <f>VLOOKUP($F$23,таблица,51,0)</f>
        <v>#N/A</v>
      </c>
      <c r="E475" s="365"/>
      <c r="K475" s="365" t="e">
        <f t="shared" si="113"/>
        <v>#N/A</v>
      </c>
    </row>
    <row r="476" spans="1:11" hidden="1" x14ac:dyDescent="0.25">
      <c r="A476" s="389" t="e">
        <f>IF(D476=0,0,A475+1)</f>
        <v>#N/A</v>
      </c>
      <c r="B476" s="395" t="s">
        <v>274</v>
      </c>
      <c r="C476" s="389" t="s">
        <v>224</v>
      </c>
      <c r="D476" s="397" t="e">
        <f>SUM(D474:D475)</f>
        <v>#N/A</v>
      </c>
      <c r="E476" s="391" t="e">
        <f>VLOOKUP($F$23,таблица,71,0)</f>
        <v>#N/A</v>
      </c>
      <c r="K476" s="365" t="e">
        <f t="shared" si="113"/>
        <v>#N/A</v>
      </c>
    </row>
    <row r="477" spans="1:11" ht="31.5" hidden="1" x14ac:dyDescent="0.25">
      <c r="A477" s="389" t="e">
        <f>IF(D477=0,0,IF(D476=0,IF(D472=0,A468+1,A472+1),A476+1))</f>
        <v>#N/A</v>
      </c>
      <c r="B477" s="395" t="s">
        <v>349</v>
      </c>
      <c r="C477" s="389" t="s">
        <v>224</v>
      </c>
      <c r="D477" s="394" t="e">
        <f>VLOOKUP($F$23,таблица,36,0)-VLOOKUP($F$23,таблица,41,0)+D472</f>
        <v>#N/A</v>
      </c>
      <c r="K477" s="365" t="e">
        <f t="shared" si="113"/>
        <v>#N/A</v>
      </c>
    </row>
    <row r="478" spans="1:11" hidden="1" x14ac:dyDescent="0.25">
      <c r="A478" s="389" t="e">
        <f>IF(D478=0,0,A477+1)</f>
        <v>#N/A</v>
      </c>
      <c r="B478" s="395" t="s">
        <v>227</v>
      </c>
      <c r="C478" s="389" t="s">
        <v>224</v>
      </c>
      <c r="D478" s="394" t="e">
        <f>VLOOKUP($F$23,таблица,61,0)</f>
        <v>#N/A</v>
      </c>
      <c r="K478" s="365" t="e">
        <f t="shared" si="113"/>
        <v>#N/A</v>
      </c>
    </row>
    <row r="479" spans="1:11" hidden="1" x14ac:dyDescent="0.25">
      <c r="A479" s="389" t="e">
        <f>IF(D479=0,0,A478+1)</f>
        <v>#N/A</v>
      </c>
      <c r="B479" s="395" t="s">
        <v>350</v>
      </c>
      <c r="C479" s="389" t="s">
        <v>224</v>
      </c>
      <c r="D479" s="397" t="e">
        <f>SUM(D477:D478)</f>
        <v>#N/A</v>
      </c>
      <c r="E479" s="391" t="e">
        <f>VLOOKUP($F$23,таблица,72,0)</f>
        <v>#N/A</v>
      </c>
      <c r="K479" s="365" t="e">
        <f t="shared" si="113"/>
        <v>#N/A</v>
      </c>
    </row>
    <row r="480" spans="1:11" hidden="1" x14ac:dyDescent="0.25">
      <c r="A480" s="389" t="e">
        <f>IF(D480=0,0,A479+1)</f>
        <v>#N/A</v>
      </c>
      <c r="B480" s="395" t="s">
        <v>226</v>
      </c>
      <c r="C480" s="389" t="s">
        <v>224</v>
      </c>
      <c r="D480" s="397" t="e">
        <f>IF(OR(D476=0,D479=0),0,D479+D476)</f>
        <v>#N/A</v>
      </c>
      <c r="E480" s="391" t="e">
        <f>VLOOKUP($F$23,таблица,62,0)</f>
        <v>#N/A</v>
      </c>
      <c r="K480" s="365" t="e">
        <f t="shared" si="113"/>
        <v>#N/A</v>
      </c>
    </row>
    <row r="481" spans="1:11" hidden="1" x14ac:dyDescent="0.25">
      <c r="A481" s="400"/>
      <c r="B481" s="400"/>
      <c r="C481" s="400"/>
      <c r="D481" s="401"/>
      <c r="K481" s="365" t="str">
        <f>IF($F$23=0,"",1)</f>
        <v/>
      </c>
    </row>
    <row r="482" spans="1:11" ht="47.25" hidden="1" customHeight="1" x14ac:dyDescent="0.25">
      <c r="A482" s="465" t="str">
        <f>'Анализ стоимости'!$I$58</f>
        <v>Начальник финансового отдела</v>
      </c>
      <c r="B482" s="466"/>
      <c r="C482" s="402"/>
      <c r="D482" s="403" t="str">
        <f>'Анализ стоимости'!$I$59</f>
        <v>А.Ю.Кашуба</v>
      </c>
      <c r="H482" s="405" t="str">
        <f>A482</f>
        <v>Начальник финансового отдела</v>
      </c>
      <c r="K482" s="365" t="str">
        <f>IF($F$23=0,"",1)</f>
        <v/>
      </c>
    </row>
    <row r="483" spans="1:11" hidden="1" x14ac:dyDescent="0.25">
      <c r="A483" s="407"/>
      <c r="B483" s="407"/>
      <c r="C483" s="407"/>
      <c r="D483" s="408"/>
      <c r="K483" s="365" t="str">
        <f>IF($F$23=0,"",1)</f>
        <v/>
      </c>
    </row>
    <row r="484" spans="1:11" hidden="1" x14ac:dyDescent="0.25">
      <c r="A484" s="462">
        <f ca="1">TODAY()</f>
        <v>42101</v>
      </c>
      <c r="B484" s="462"/>
      <c r="C484" s="371"/>
      <c r="D484" s="371"/>
      <c r="K484" s="365" t="str">
        <f>IF($F$23=0,"",1)</f>
        <v/>
      </c>
    </row>
    <row r="485" spans="1:11" hidden="1" x14ac:dyDescent="0.25">
      <c r="A485" s="463" t="s">
        <v>256</v>
      </c>
      <c r="B485" s="463"/>
      <c r="C485" s="463"/>
      <c r="D485" s="463"/>
      <c r="H485" s="369"/>
      <c r="I485" s="369"/>
      <c r="K485" s="365" t="str">
        <f t="shared" ref="K485:K502" si="114">IF($F$24=0,"",1)</f>
        <v/>
      </c>
    </row>
    <row r="486" spans="1:11" ht="47.25" hidden="1" customHeight="1" x14ac:dyDescent="0.2">
      <c r="A486" s="458" t="e">
        <f>CONCATENATE("Наименование объекта: ",VLOOKUP($F$24,таблица,9,0))</f>
        <v>#N/A</v>
      </c>
      <c r="B486" s="458"/>
      <c r="C486" s="458"/>
      <c r="D486" s="458"/>
      <c r="J486" s="414" t="e">
        <f>A486</f>
        <v>#N/A</v>
      </c>
      <c r="K486" s="365" t="str">
        <f t="shared" si="114"/>
        <v/>
      </c>
    </row>
    <row r="487" spans="1:11" hidden="1" x14ac:dyDescent="0.25">
      <c r="A487" s="383"/>
      <c r="B487" s="372"/>
      <c r="C487" s="372"/>
      <c r="D487" s="372"/>
      <c r="K487" s="365" t="str">
        <f t="shared" si="114"/>
        <v/>
      </c>
    </row>
    <row r="488" spans="1:11" hidden="1" x14ac:dyDescent="0.25">
      <c r="A488" s="415" t="s">
        <v>218</v>
      </c>
      <c r="B488" s="378"/>
      <c r="C488" s="378"/>
      <c r="D488" s="378"/>
      <c r="K488" s="365" t="str">
        <f t="shared" si="114"/>
        <v/>
      </c>
    </row>
    <row r="489" spans="1:11" hidden="1" x14ac:dyDescent="0.25">
      <c r="A489" s="459" t="s">
        <v>219</v>
      </c>
      <c r="B489" s="459"/>
      <c r="C489" s="459"/>
      <c r="D489" s="459"/>
      <c r="K489" s="365" t="str">
        <f t="shared" si="114"/>
        <v/>
      </c>
    </row>
    <row r="490" spans="1:11" ht="31.5" hidden="1" x14ac:dyDescent="0.25">
      <c r="A490" s="385" t="s">
        <v>111</v>
      </c>
      <c r="B490" s="385" t="s">
        <v>167</v>
      </c>
      <c r="C490" s="460" t="e">
        <f>CONCATENATE("Стоимость  согласно сметной документации (руб.) в текущих ценах по состоянию на ",VLOOKUP($F$24,таблица,5,0)," г.")</f>
        <v>#N/A</v>
      </c>
      <c r="D490" s="461"/>
      <c r="I490" s="386" t="e">
        <f>C490</f>
        <v>#N/A</v>
      </c>
      <c r="K490" s="365" t="str">
        <f t="shared" si="114"/>
        <v/>
      </c>
    </row>
    <row r="491" spans="1:11" hidden="1" x14ac:dyDescent="0.25">
      <c r="A491" s="389">
        <v>1</v>
      </c>
      <c r="B491" s="390" t="s">
        <v>68</v>
      </c>
      <c r="C491" s="455" t="e">
        <f>VLOOKUP($F$24,таблица,10,0)</f>
        <v>#N/A</v>
      </c>
      <c r="D491" s="456"/>
      <c r="K491" s="365" t="str">
        <f t="shared" si="114"/>
        <v/>
      </c>
    </row>
    <row r="492" spans="1:11" hidden="1" x14ac:dyDescent="0.25">
      <c r="A492" s="389">
        <v>2</v>
      </c>
      <c r="B492" s="390" t="s">
        <v>58</v>
      </c>
      <c r="C492" s="455" t="e">
        <f>VLOOKUP($F$24,таблица,11,0)</f>
        <v>#N/A</v>
      </c>
      <c r="D492" s="456"/>
      <c r="K492" s="365" t="str">
        <f t="shared" si="114"/>
        <v/>
      </c>
    </row>
    <row r="493" spans="1:11" ht="31.5" hidden="1" x14ac:dyDescent="0.25">
      <c r="A493" s="389">
        <v>3</v>
      </c>
      <c r="B493" s="390" t="s">
        <v>8</v>
      </c>
      <c r="C493" s="455" t="e">
        <f>VLOOKUP($F$24,таблица,12,0)</f>
        <v>#N/A</v>
      </c>
      <c r="D493" s="456"/>
      <c r="K493" s="365" t="str">
        <f t="shared" si="114"/>
        <v/>
      </c>
    </row>
    <row r="494" spans="1:11" hidden="1" x14ac:dyDescent="0.25">
      <c r="A494" s="389">
        <v>4</v>
      </c>
      <c r="B494" s="390" t="s">
        <v>59</v>
      </c>
      <c r="C494" s="455" t="e">
        <f>VLOOKUP($F$24,таблица,13,0)</f>
        <v>#N/A</v>
      </c>
      <c r="D494" s="456"/>
      <c r="K494" s="365" t="str">
        <f t="shared" si="114"/>
        <v/>
      </c>
    </row>
    <row r="495" spans="1:11" hidden="1" x14ac:dyDescent="0.25">
      <c r="A495" s="389">
        <v>5</v>
      </c>
      <c r="B495" s="390" t="s">
        <v>14</v>
      </c>
      <c r="C495" s="455" t="e">
        <f>VLOOKUP($F$24,таблица,14,0)</f>
        <v>#N/A</v>
      </c>
      <c r="D495" s="456"/>
      <c r="K495" s="365" t="str">
        <f t="shared" si="114"/>
        <v/>
      </c>
    </row>
    <row r="496" spans="1:11" hidden="1" x14ac:dyDescent="0.25">
      <c r="A496" s="389">
        <v>6</v>
      </c>
      <c r="B496" s="390" t="s">
        <v>23</v>
      </c>
      <c r="C496" s="455" t="e">
        <f>VLOOKUP($F$24,таблица,18,0)</f>
        <v>#N/A</v>
      </c>
      <c r="D496" s="456"/>
      <c r="K496" s="365" t="str">
        <f t="shared" si="114"/>
        <v/>
      </c>
    </row>
    <row r="497" spans="1:11" hidden="1" x14ac:dyDescent="0.25">
      <c r="A497" s="389">
        <v>7</v>
      </c>
      <c r="B497" s="390" t="s">
        <v>156</v>
      </c>
      <c r="C497" s="455" t="e">
        <f>VLOOKUP($F$24,таблица,19,0)+VLOOKUP($F$24,таблица,21,0)+VLOOKUP($F$24,таблица,22,0)+VLOOKUP($F$24,таблица,23,0)+VLOOKUP($F$24,таблица,24,0)+VLOOKUP($F$24,таблица,25,0)+VLOOKUP($F$24,таблица,26,0)</f>
        <v>#N/A</v>
      </c>
      <c r="D497" s="456"/>
      <c r="K497" s="365" t="str">
        <f t="shared" si="114"/>
        <v/>
      </c>
    </row>
    <row r="498" spans="1:11" hidden="1" x14ac:dyDescent="0.25">
      <c r="A498" s="389">
        <v>8</v>
      </c>
      <c r="B498" s="390" t="s">
        <v>101</v>
      </c>
      <c r="C498" s="455" t="e">
        <f>VLOOKUP($F$24,таблица,31,0)</f>
        <v>#N/A</v>
      </c>
      <c r="D498" s="456"/>
      <c r="K498" s="365" t="str">
        <f t="shared" si="114"/>
        <v/>
      </c>
    </row>
    <row r="499" spans="1:11" hidden="1" x14ac:dyDescent="0.25">
      <c r="A499" s="389">
        <v>9</v>
      </c>
      <c r="B499" s="390" t="s">
        <v>241</v>
      </c>
      <c r="C499" s="455" t="e">
        <f>SUM(C491:D498)</f>
        <v>#N/A</v>
      </c>
      <c r="D499" s="456"/>
      <c r="K499" s="365" t="str">
        <f t="shared" si="114"/>
        <v/>
      </c>
    </row>
    <row r="500" spans="1:11" hidden="1" x14ac:dyDescent="0.25">
      <c r="A500" s="464" t="s">
        <v>231</v>
      </c>
      <c r="B500" s="464"/>
      <c r="C500" s="464"/>
      <c r="D500" s="464"/>
      <c r="K500" s="365" t="str">
        <f t="shared" si="114"/>
        <v/>
      </c>
    </row>
    <row r="501" spans="1:11" ht="31.5" hidden="1" x14ac:dyDescent="0.25">
      <c r="A501" s="392" t="s">
        <v>111</v>
      </c>
      <c r="B501" s="385" t="s">
        <v>36</v>
      </c>
      <c r="C501" s="385" t="s">
        <v>221</v>
      </c>
      <c r="D501" s="385" t="s">
        <v>168</v>
      </c>
      <c r="K501" s="365" t="str">
        <f t="shared" si="114"/>
        <v/>
      </c>
    </row>
    <row r="502" spans="1:11" hidden="1" x14ac:dyDescent="0.25">
      <c r="A502" s="389">
        <v>10</v>
      </c>
      <c r="B502" s="389" t="e">
        <f>VLOOKUP((VLOOKUP($F$24,таблица,8,0)),рем_содер,2,0)</f>
        <v>#N/A</v>
      </c>
      <c r="C502" s="389"/>
      <c r="D502" s="390"/>
      <c r="K502" s="365" t="str">
        <f t="shared" si="114"/>
        <v/>
      </c>
    </row>
    <row r="503" spans="1:11" hidden="1" x14ac:dyDescent="0.25">
      <c r="A503" s="389" t="e">
        <f>IF(D503=0,0,A502+1)</f>
        <v>#N/A</v>
      </c>
      <c r="B503" s="390" t="e">
        <f>CONCATENATE("2015 г. (",CHOOSE(VLOOKUP(F$24,таблица,63,0),"Январь","Февраль","Март","Апрель","Май","Июнь","Июль","Август","Сентябрь","Октябрь","Ноябрь","Декабрь")," - ",CHOOSE(VLOOKUP(F$24,таблица,64,0),"Январь","Февраль","Март","Апрель","Май","Июнь","Июль","Август","Сентябрь","Октябрь","Ноябрь","Декабрь"),")")</f>
        <v>#N/A</v>
      </c>
      <c r="C503" s="389" t="s">
        <v>222</v>
      </c>
      <c r="D503" s="417" t="e">
        <f>IF(D505=0,0,VLOOKUP($F$24,таблица,69,0)*100+100)</f>
        <v>#N/A</v>
      </c>
      <c r="K503" s="365" t="e">
        <f>IF(D503=0,"",1)</f>
        <v>#N/A</v>
      </c>
    </row>
    <row r="504" spans="1:11" hidden="1" x14ac:dyDescent="0.25">
      <c r="A504" s="389" t="e">
        <f>IF(D504=0,0,IF(D503=0,A502+1,A503+1))</f>
        <v>#N/A</v>
      </c>
      <c r="B504" s="390" t="e">
        <f>CONCATENATE("2016 г. (",CHOOSE(VLOOKUP(F$24,таблица,65,0),"Январь","Февраль","Март","Апрель","Май","Июнь","Июль","Август","Сентябрь","Октябрь","Ноябрь","Декабрь")," - ",CHOOSE(VLOOKUP(F$24,таблица,66,0),"Январь","Февраль","Март","Апрель","Май","Июнь","Июль","Август","Сентябрь","Октябрь","Ноябрь","Декабрь"),")")</f>
        <v>#N/A</v>
      </c>
      <c r="C504" s="389" t="s">
        <v>222</v>
      </c>
      <c r="D504" s="417" t="e">
        <f>IF(D506=0,0,VLOOKUP($F$24,таблица,70,0)*100+100)</f>
        <v>#N/A</v>
      </c>
      <c r="K504" s="365" t="e">
        <f t="shared" ref="K504:K506" si="115">IF(D504=0,"",1)</f>
        <v>#N/A</v>
      </c>
    </row>
    <row r="505" spans="1:11" hidden="1" x14ac:dyDescent="0.25">
      <c r="A505" s="389" t="e">
        <f>IF(D505=0,0,IF(D504=0,A503+1,A504+1))</f>
        <v>#N/A</v>
      </c>
      <c r="B505" s="390" t="s">
        <v>223</v>
      </c>
      <c r="C505" s="389" t="s">
        <v>224</v>
      </c>
      <c r="D505" s="394" t="e">
        <f>VLOOKUP($F$24,таблица,46,0)</f>
        <v>#N/A</v>
      </c>
      <c r="K505" s="365" t="e">
        <f t="shared" si="115"/>
        <v>#N/A</v>
      </c>
    </row>
    <row r="506" spans="1:11" hidden="1" x14ac:dyDescent="0.25">
      <c r="A506" s="389" t="e">
        <f>IF(D506=0,0,IF(D505=0,A504+1,A505+1))</f>
        <v>#N/A</v>
      </c>
      <c r="B506" s="390" t="s">
        <v>351</v>
      </c>
      <c r="C506" s="389" t="s">
        <v>224</v>
      </c>
      <c r="D506" s="394" t="e">
        <f>VLOOKUP($F$24,таблица,56,0)</f>
        <v>#N/A</v>
      </c>
      <c r="K506" s="365" t="e">
        <f t="shared" si="115"/>
        <v>#N/A</v>
      </c>
    </row>
    <row r="507" spans="1:11" hidden="1" x14ac:dyDescent="0.25">
      <c r="A507" s="464" t="s">
        <v>225</v>
      </c>
      <c r="B507" s="464"/>
      <c r="C507" s="464"/>
      <c r="D507" s="464"/>
      <c r="K507" s="365" t="str">
        <f>IF($F$24=0,"",1)</f>
        <v/>
      </c>
    </row>
    <row r="508" spans="1:11" ht="31.5" hidden="1" x14ac:dyDescent="0.25">
      <c r="A508" s="389" t="e">
        <f>IF(D508=0,0,IF(D506=0,IF(D505=0,A502+1,A505+1),A506+1))</f>
        <v>#N/A</v>
      </c>
      <c r="B508" s="395" t="s">
        <v>275</v>
      </c>
      <c r="C508" s="389" t="s">
        <v>224</v>
      </c>
      <c r="D508" s="394" t="e">
        <f>SUM(VLOOKUP($F$24,таблица,41,0),D505)</f>
        <v>#N/A</v>
      </c>
      <c r="E508" s="365"/>
      <c r="K508" s="365" t="e">
        <f t="shared" ref="K508:K514" si="116">IF(D508=0,"",1)</f>
        <v>#N/A</v>
      </c>
    </row>
    <row r="509" spans="1:11" hidden="1" x14ac:dyDescent="0.25">
      <c r="A509" s="389" t="e">
        <f>IF(D509=0,0,A508+1)</f>
        <v>#N/A</v>
      </c>
      <c r="B509" s="395" t="s">
        <v>227</v>
      </c>
      <c r="C509" s="389" t="s">
        <v>224</v>
      </c>
      <c r="D509" s="394" t="e">
        <f>VLOOKUP($F$24,таблица,51,0)</f>
        <v>#N/A</v>
      </c>
      <c r="E509" s="365"/>
      <c r="K509" s="365" t="e">
        <f t="shared" si="116"/>
        <v>#N/A</v>
      </c>
    </row>
    <row r="510" spans="1:11" hidden="1" x14ac:dyDescent="0.25">
      <c r="A510" s="389" t="e">
        <f>IF(D510=0,0,A509+1)</f>
        <v>#N/A</v>
      </c>
      <c r="B510" s="395" t="s">
        <v>274</v>
      </c>
      <c r="C510" s="389" t="s">
        <v>224</v>
      </c>
      <c r="D510" s="397" t="e">
        <f>SUM(D508:D509)</f>
        <v>#N/A</v>
      </c>
      <c r="E510" s="391" t="e">
        <f>VLOOKUP($F$24,таблица,71,0)</f>
        <v>#N/A</v>
      </c>
      <c r="K510" s="365" t="e">
        <f t="shared" si="116"/>
        <v>#N/A</v>
      </c>
    </row>
    <row r="511" spans="1:11" ht="31.5" hidden="1" x14ac:dyDescent="0.25">
      <c r="A511" s="389" t="e">
        <f>IF(D511=0,0,IF(D510=0,IF(D506=0,A502+1,A506+1),A510+1))</f>
        <v>#N/A</v>
      </c>
      <c r="B511" s="395" t="s">
        <v>349</v>
      </c>
      <c r="C511" s="389" t="s">
        <v>224</v>
      </c>
      <c r="D511" s="394" t="e">
        <f>VLOOKUP($F$24,таблица,36,0)-VLOOKUP($F$24,таблица,41,0)+D506</f>
        <v>#N/A</v>
      </c>
      <c r="K511" s="365" t="e">
        <f t="shared" si="116"/>
        <v>#N/A</v>
      </c>
    </row>
    <row r="512" spans="1:11" hidden="1" x14ac:dyDescent="0.25">
      <c r="A512" s="389" t="e">
        <f>IF(D512=0,0,A511+1)</f>
        <v>#N/A</v>
      </c>
      <c r="B512" s="395" t="s">
        <v>227</v>
      </c>
      <c r="C512" s="389" t="s">
        <v>224</v>
      </c>
      <c r="D512" s="394" t="e">
        <f>VLOOKUP($F$24,таблица,61,0)</f>
        <v>#N/A</v>
      </c>
      <c r="K512" s="365" t="e">
        <f t="shared" si="116"/>
        <v>#N/A</v>
      </c>
    </row>
    <row r="513" spans="1:11" hidden="1" x14ac:dyDescent="0.25">
      <c r="A513" s="389" t="e">
        <f>IF(D513=0,0,A512+1)</f>
        <v>#N/A</v>
      </c>
      <c r="B513" s="395" t="s">
        <v>350</v>
      </c>
      <c r="C513" s="389" t="s">
        <v>224</v>
      </c>
      <c r="D513" s="397" t="e">
        <f>SUM(D511:D512)</f>
        <v>#N/A</v>
      </c>
      <c r="E513" s="391" t="e">
        <f>VLOOKUP($F$24,таблица,72,0)</f>
        <v>#N/A</v>
      </c>
      <c r="K513" s="365" t="e">
        <f t="shared" si="116"/>
        <v>#N/A</v>
      </c>
    </row>
    <row r="514" spans="1:11" hidden="1" x14ac:dyDescent="0.25">
      <c r="A514" s="389" t="e">
        <f>IF(D514=0,0,A513+1)</f>
        <v>#N/A</v>
      </c>
      <c r="B514" s="395" t="s">
        <v>226</v>
      </c>
      <c r="C514" s="389" t="s">
        <v>224</v>
      </c>
      <c r="D514" s="397" t="e">
        <f>IF(OR(D510=0,D513=0),0,D513+D510)</f>
        <v>#N/A</v>
      </c>
      <c r="E514" s="391" t="e">
        <f>VLOOKUP($F$24,таблица,62,0)</f>
        <v>#N/A</v>
      </c>
      <c r="K514" s="365" t="e">
        <f t="shared" si="116"/>
        <v>#N/A</v>
      </c>
    </row>
    <row r="515" spans="1:11" hidden="1" x14ac:dyDescent="0.25">
      <c r="A515" s="400"/>
      <c r="B515" s="400"/>
      <c r="C515" s="400"/>
      <c r="D515" s="401"/>
      <c r="K515" s="365" t="str">
        <f>IF($F$24=0,"",1)</f>
        <v/>
      </c>
    </row>
    <row r="516" spans="1:11" ht="47.25" hidden="1" customHeight="1" x14ac:dyDescent="0.25">
      <c r="A516" s="465" t="str">
        <f>'Анализ стоимости'!$I$58</f>
        <v>Начальник финансового отдела</v>
      </c>
      <c r="B516" s="466"/>
      <c r="C516" s="402"/>
      <c r="D516" s="403" t="str">
        <f>'Анализ стоимости'!$I$59</f>
        <v>А.Ю.Кашуба</v>
      </c>
      <c r="H516" s="405" t="str">
        <f>A516</f>
        <v>Начальник финансового отдела</v>
      </c>
      <c r="K516" s="365" t="str">
        <f>IF($F$24=0,"",1)</f>
        <v/>
      </c>
    </row>
    <row r="517" spans="1:11" hidden="1" x14ac:dyDescent="0.25">
      <c r="A517" s="407"/>
      <c r="B517" s="407"/>
      <c r="C517" s="407"/>
      <c r="D517" s="408"/>
      <c r="K517" s="365" t="str">
        <f>IF($F$24=0,"",1)</f>
        <v/>
      </c>
    </row>
    <row r="518" spans="1:11" hidden="1" x14ac:dyDescent="0.25">
      <c r="A518" s="462">
        <f ca="1">TODAY()</f>
        <v>42101</v>
      </c>
      <c r="B518" s="462"/>
      <c r="C518" s="371"/>
      <c r="D518" s="371"/>
      <c r="K518" s="365" t="str">
        <f>IF($F$24=0,"",1)</f>
        <v/>
      </c>
    </row>
    <row r="519" spans="1:11" hidden="1" x14ac:dyDescent="0.25">
      <c r="A519" s="463" t="s">
        <v>257</v>
      </c>
      <c r="B519" s="463"/>
      <c r="C519" s="463"/>
      <c r="D519" s="463"/>
      <c r="H519" s="369"/>
      <c r="I519" s="369"/>
      <c r="K519" s="365" t="str">
        <f t="shared" ref="K519:K536" si="117">IF($F$25=0,"",1)</f>
        <v/>
      </c>
    </row>
    <row r="520" spans="1:11" ht="47.25" hidden="1" customHeight="1" x14ac:dyDescent="0.2">
      <c r="A520" s="458" t="e">
        <f>CONCATENATE("Наименование объекта: ",VLOOKUP($F$25,таблица,9,0))</f>
        <v>#N/A</v>
      </c>
      <c r="B520" s="458"/>
      <c r="C520" s="458"/>
      <c r="D520" s="458"/>
      <c r="J520" s="414" t="e">
        <f>A520</f>
        <v>#N/A</v>
      </c>
      <c r="K520" s="365" t="str">
        <f t="shared" si="117"/>
        <v/>
      </c>
    </row>
    <row r="521" spans="1:11" hidden="1" x14ac:dyDescent="0.25">
      <c r="A521" s="383"/>
      <c r="B521" s="372"/>
      <c r="C521" s="372"/>
      <c r="D521" s="372"/>
      <c r="K521" s="365" t="str">
        <f t="shared" si="117"/>
        <v/>
      </c>
    </row>
    <row r="522" spans="1:11" hidden="1" x14ac:dyDescent="0.25">
      <c r="A522" s="415" t="s">
        <v>218</v>
      </c>
      <c r="B522" s="378"/>
      <c r="C522" s="378"/>
      <c r="D522" s="378"/>
      <c r="K522" s="365" t="str">
        <f t="shared" si="117"/>
        <v/>
      </c>
    </row>
    <row r="523" spans="1:11" hidden="1" x14ac:dyDescent="0.25">
      <c r="A523" s="459" t="s">
        <v>219</v>
      </c>
      <c r="B523" s="459"/>
      <c r="C523" s="459"/>
      <c r="D523" s="459"/>
      <c r="K523" s="365" t="str">
        <f t="shared" si="117"/>
        <v/>
      </c>
    </row>
    <row r="524" spans="1:11" ht="31.5" hidden="1" x14ac:dyDescent="0.25">
      <c r="A524" s="385" t="s">
        <v>111</v>
      </c>
      <c r="B524" s="385" t="s">
        <v>167</v>
      </c>
      <c r="C524" s="460" t="e">
        <f>CONCATENATE("Стоимость  согласно сметной документации (руб.) в текущих ценах по состоянию на ",VLOOKUP($F$25,таблица,5,0)," г.")</f>
        <v>#N/A</v>
      </c>
      <c r="D524" s="461"/>
      <c r="I524" s="386" t="e">
        <f>C524</f>
        <v>#N/A</v>
      </c>
      <c r="K524" s="365" t="str">
        <f t="shared" si="117"/>
        <v/>
      </c>
    </row>
    <row r="525" spans="1:11" hidden="1" x14ac:dyDescent="0.25">
      <c r="A525" s="389">
        <v>1</v>
      </c>
      <c r="B525" s="390" t="s">
        <v>68</v>
      </c>
      <c r="C525" s="455" t="e">
        <f>VLOOKUP($F$25,таблица,10,0)</f>
        <v>#N/A</v>
      </c>
      <c r="D525" s="456"/>
      <c r="K525" s="365" t="str">
        <f t="shared" si="117"/>
        <v/>
      </c>
    </row>
    <row r="526" spans="1:11" hidden="1" x14ac:dyDescent="0.25">
      <c r="A526" s="389">
        <v>2</v>
      </c>
      <c r="B526" s="390" t="s">
        <v>58</v>
      </c>
      <c r="C526" s="455" t="e">
        <f>VLOOKUP($F$25,таблица,11,0)</f>
        <v>#N/A</v>
      </c>
      <c r="D526" s="456"/>
      <c r="K526" s="365" t="str">
        <f t="shared" si="117"/>
        <v/>
      </c>
    </row>
    <row r="527" spans="1:11" ht="31.5" hidden="1" x14ac:dyDescent="0.25">
      <c r="A527" s="389">
        <v>3</v>
      </c>
      <c r="B527" s="390" t="s">
        <v>8</v>
      </c>
      <c r="C527" s="455" t="e">
        <f>VLOOKUP($F$25,таблица,12,0)</f>
        <v>#N/A</v>
      </c>
      <c r="D527" s="456"/>
      <c r="K527" s="365" t="str">
        <f t="shared" si="117"/>
        <v/>
      </c>
    </row>
    <row r="528" spans="1:11" hidden="1" x14ac:dyDescent="0.25">
      <c r="A528" s="389">
        <v>4</v>
      </c>
      <c r="B528" s="390" t="s">
        <v>59</v>
      </c>
      <c r="C528" s="455" t="e">
        <f>VLOOKUP($F$25,таблица,13,0)</f>
        <v>#N/A</v>
      </c>
      <c r="D528" s="456"/>
      <c r="K528" s="365" t="str">
        <f t="shared" si="117"/>
        <v/>
      </c>
    </row>
    <row r="529" spans="1:11" hidden="1" x14ac:dyDescent="0.25">
      <c r="A529" s="389">
        <v>5</v>
      </c>
      <c r="B529" s="390" t="s">
        <v>14</v>
      </c>
      <c r="C529" s="455" t="e">
        <f>VLOOKUP($F$25,таблица,14,0)</f>
        <v>#N/A</v>
      </c>
      <c r="D529" s="456"/>
      <c r="K529" s="365" t="str">
        <f t="shared" si="117"/>
        <v/>
      </c>
    </row>
    <row r="530" spans="1:11" hidden="1" x14ac:dyDescent="0.25">
      <c r="A530" s="389">
        <v>6</v>
      </c>
      <c r="B530" s="390" t="s">
        <v>23</v>
      </c>
      <c r="C530" s="455" t="e">
        <f>VLOOKUP($F$25,таблица,18,0)</f>
        <v>#N/A</v>
      </c>
      <c r="D530" s="456"/>
      <c r="K530" s="365" t="str">
        <f t="shared" si="117"/>
        <v/>
      </c>
    </row>
    <row r="531" spans="1:11" hidden="1" x14ac:dyDescent="0.25">
      <c r="A531" s="389">
        <v>7</v>
      </c>
      <c r="B531" s="390" t="s">
        <v>156</v>
      </c>
      <c r="C531" s="455" t="e">
        <f>VLOOKUP($F$25,таблица,19,0)+VLOOKUP($F$25,таблица,21,0)+VLOOKUP($F$25,таблица,22,0)+VLOOKUP($F$25,таблица,23,0)+VLOOKUP($F$25,таблица,24,0)+VLOOKUP($F$25,таблица,25,0)+VLOOKUP($F$25,таблица,26,0)</f>
        <v>#N/A</v>
      </c>
      <c r="D531" s="456"/>
      <c r="K531" s="365" t="str">
        <f t="shared" si="117"/>
        <v/>
      </c>
    </row>
    <row r="532" spans="1:11" hidden="1" x14ac:dyDescent="0.25">
      <c r="A532" s="389">
        <v>8</v>
      </c>
      <c r="B532" s="390" t="s">
        <v>101</v>
      </c>
      <c r="C532" s="455" t="e">
        <f>VLOOKUP($F$25,таблица,31,0)</f>
        <v>#N/A</v>
      </c>
      <c r="D532" s="456"/>
      <c r="K532" s="365" t="str">
        <f t="shared" si="117"/>
        <v/>
      </c>
    </row>
    <row r="533" spans="1:11" hidden="1" x14ac:dyDescent="0.25">
      <c r="A533" s="389">
        <v>9</v>
      </c>
      <c r="B533" s="390" t="s">
        <v>241</v>
      </c>
      <c r="C533" s="455" t="e">
        <f>SUM(C525:D532)</f>
        <v>#N/A</v>
      </c>
      <c r="D533" s="456"/>
      <c r="K533" s="365" t="str">
        <f t="shared" si="117"/>
        <v/>
      </c>
    </row>
    <row r="534" spans="1:11" hidden="1" x14ac:dyDescent="0.25">
      <c r="A534" s="464" t="s">
        <v>231</v>
      </c>
      <c r="B534" s="464"/>
      <c r="C534" s="464"/>
      <c r="D534" s="464"/>
      <c r="K534" s="365" t="str">
        <f t="shared" si="117"/>
        <v/>
      </c>
    </row>
    <row r="535" spans="1:11" ht="31.5" hidden="1" x14ac:dyDescent="0.25">
      <c r="A535" s="392" t="s">
        <v>111</v>
      </c>
      <c r="B535" s="385" t="s">
        <v>36</v>
      </c>
      <c r="C535" s="385" t="s">
        <v>221</v>
      </c>
      <c r="D535" s="385" t="s">
        <v>168</v>
      </c>
      <c r="K535" s="365" t="str">
        <f t="shared" si="117"/>
        <v/>
      </c>
    </row>
    <row r="536" spans="1:11" hidden="1" x14ac:dyDescent="0.25">
      <c r="A536" s="389">
        <v>10</v>
      </c>
      <c r="B536" s="389" t="e">
        <f>VLOOKUP((VLOOKUP($F$25,таблица,8,0)),рем_содер,2,0)</f>
        <v>#N/A</v>
      </c>
      <c r="C536" s="389"/>
      <c r="D536" s="390"/>
      <c r="K536" s="365" t="str">
        <f t="shared" si="117"/>
        <v/>
      </c>
    </row>
    <row r="537" spans="1:11" hidden="1" x14ac:dyDescent="0.25">
      <c r="A537" s="389" t="e">
        <f>IF(D537=0,0,A536+1)</f>
        <v>#N/A</v>
      </c>
      <c r="B537" s="390" t="e">
        <f>CONCATENATE("2015 г. (",CHOOSE(VLOOKUP($F$25,таблица,63,0),"Январь","Февраль","Март","Апрель","Май","Июнь","Июль","Август","Сентябрь","Октябрь","Ноябрь","Декабрь")," - ",CHOOSE(VLOOKUP($F$25,таблица,64,0),"Январь","Февраль","Март","Апрель","Май","Июнь","Июль","Август","Сентябрь","Октябрь","Ноябрь","Декабрь"),")")</f>
        <v>#N/A</v>
      </c>
      <c r="C537" s="389" t="s">
        <v>222</v>
      </c>
      <c r="D537" s="417" t="e">
        <f>IF(D539=0,0,VLOOKUP($F$25,таблица,69,0)*100+100)</f>
        <v>#N/A</v>
      </c>
      <c r="K537" s="365" t="e">
        <f>IF(D537=0,"",1)</f>
        <v>#N/A</v>
      </c>
    </row>
    <row r="538" spans="1:11" hidden="1" x14ac:dyDescent="0.25">
      <c r="A538" s="389" t="e">
        <f>IF(D538=0,0,IF(D537=0,A536+1,A537+1))</f>
        <v>#N/A</v>
      </c>
      <c r="B538" s="390" t="e">
        <f>CONCATENATE("2016 г. (",CHOOSE(VLOOKUP($F$25,таблица,65,0),"Январь","Февраль","Март","Апрель","Май","Июнь","Июль","Август","Сентябрь","Октябрь","Ноябрь","Декабрь")," - ",CHOOSE(VLOOKUP($F$25,таблица,66,0),"Январь","Февраль","Март","Апрель","Май","Июнь","Июль","Август","Сентябрь","Октябрь","Ноябрь","Декабрь"),")")</f>
        <v>#N/A</v>
      </c>
      <c r="C538" s="389" t="s">
        <v>222</v>
      </c>
      <c r="D538" s="417" t="e">
        <f>IF(D540=0,0,VLOOKUP($F$25,таблица,70,0)*100+100)</f>
        <v>#N/A</v>
      </c>
      <c r="K538" s="365" t="e">
        <f t="shared" ref="K538:K540" si="118">IF(D538=0,"",1)</f>
        <v>#N/A</v>
      </c>
    </row>
    <row r="539" spans="1:11" hidden="1" x14ac:dyDescent="0.25">
      <c r="A539" s="389" t="e">
        <f>IF(D539=0,0,IF(D538=0,A537+1,A538+1))</f>
        <v>#N/A</v>
      </c>
      <c r="B539" s="390" t="s">
        <v>223</v>
      </c>
      <c r="C539" s="389" t="s">
        <v>224</v>
      </c>
      <c r="D539" s="394" t="e">
        <f>VLOOKUP($F$25,таблица,46,0)</f>
        <v>#N/A</v>
      </c>
      <c r="K539" s="365" t="e">
        <f t="shared" si="118"/>
        <v>#N/A</v>
      </c>
    </row>
    <row r="540" spans="1:11" hidden="1" x14ac:dyDescent="0.25">
      <c r="A540" s="389" t="e">
        <f>IF(D540=0,0,IF(D539=0,A538+1,A539+1))</f>
        <v>#N/A</v>
      </c>
      <c r="B540" s="390" t="s">
        <v>351</v>
      </c>
      <c r="C540" s="389" t="s">
        <v>224</v>
      </c>
      <c r="D540" s="394" t="e">
        <f>VLOOKUP($F$25,таблица,56,0)</f>
        <v>#N/A</v>
      </c>
      <c r="K540" s="365" t="e">
        <f t="shared" si="118"/>
        <v>#N/A</v>
      </c>
    </row>
    <row r="541" spans="1:11" hidden="1" x14ac:dyDescent="0.25">
      <c r="A541" s="464" t="s">
        <v>225</v>
      </c>
      <c r="B541" s="464"/>
      <c r="C541" s="464"/>
      <c r="D541" s="464"/>
      <c r="K541" s="365" t="str">
        <f>IF($F$25=0,"",1)</f>
        <v/>
      </c>
    </row>
    <row r="542" spans="1:11" ht="31.5" hidden="1" x14ac:dyDescent="0.25">
      <c r="A542" s="389" t="e">
        <f>IF(D542=0,0,IF(D540=0,IF(D539=0,A536+1,A539+1),A540+1))</f>
        <v>#N/A</v>
      </c>
      <c r="B542" s="395" t="s">
        <v>275</v>
      </c>
      <c r="C542" s="389" t="s">
        <v>224</v>
      </c>
      <c r="D542" s="394" t="e">
        <f>SUM(VLOOKUP($F$25,таблица,41,0),D539)</f>
        <v>#N/A</v>
      </c>
      <c r="E542" s="365"/>
      <c r="K542" s="365" t="e">
        <f t="shared" ref="K542:K548" si="119">IF(D542=0,"",1)</f>
        <v>#N/A</v>
      </c>
    </row>
    <row r="543" spans="1:11" hidden="1" x14ac:dyDescent="0.25">
      <c r="A543" s="389" t="e">
        <f>IF(D543=0,0,A542+1)</f>
        <v>#N/A</v>
      </c>
      <c r="B543" s="395" t="s">
        <v>227</v>
      </c>
      <c r="C543" s="389" t="s">
        <v>224</v>
      </c>
      <c r="D543" s="394" t="e">
        <f>VLOOKUP($F$25,таблица,51,0)</f>
        <v>#N/A</v>
      </c>
      <c r="E543" s="365"/>
      <c r="K543" s="365" t="e">
        <f t="shared" si="119"/>
        <v>#N/A</v>
      </c>
    </row>
    <row r="544" spans="1:11" hidden="1" x14ac:dyDescent="0.25">
      <c r="A544" s="389" t="e">
        <f>IF(D544=0,0,A543+1)</f>
        <v>#N/A</v>
      </c>
      <c r="B544" s="395" t="s">
        <v>274</v>
      </c>
      <c r="C544" s="389" t="s">
        <v>224</v>
      </c>
      <c r="D544" s="397" t="e">
        <f>SUM(D542:D543)</f>
        <v>#N/A</v>
      </c>
      <c r="E544" s="391" t="e">
        <f>VLOOKUP($F$25,таблица,71,0)</f>
        <v>#N/A</v>
      </c>
      <c r="K544" s="365" t="e">
        <f t="shared" si="119"/>
        <v>#N/A</v>
      </c>
    </row>
    <row r="545" spans="1:11" ht="31.5" hidden="1" x14ac:dyDescent="0.25">
      <c r="A545" s="389" t="e">
        <f>IF(D545=0,0,IF(D544=0,IF(D540=0,A536+1,A540+1),A544+1))</f>
        <v>#N/A</v>
      </c>
      <c r="B545" s="395" t="s">
        <v>349</v>
      </c>
      <c r="C545" s="389" t="s">
        <v>224</v>
      </c>
      <c r="D545" s="394" t="e">
        <f>VLOOKUP($F$25,таблица,36,0)-VLOOKUP($F$25,таблица,41,0)+D540</f>
        <v>#N/A</v>
      </c>
      <c r="K545" s="365" t="e">
        <f t="shared" si="119"/>
        <v>#N/A</v>
      </c>
    </row>
    <row r="546" spans="1:11" hidden="1" x14ac:dyDescent="0.25">
      <c r="A546" s="389" t="e">
        <f>IF(D546=0,0,A545+1)</f>
        <v>#N/A</v>
      </c>
      <c r="B546" s="395" t="s">
        <v>227</v>
      </c>
      <c r="C546" s="389" t="s">
        <v>224</v>
      </c>
      <c r="D546" s="394" t="e">
        <f>VLOOKUP($F$25,таблица,61,0)</f>
        <v>#N/A</v>
      </c>
      <c r="K546" s="365" t="e">
        <f t="shared" si="119"/>
        <v>#N/A</v>
      </c>
    </row>
    <row r="547" spans="1:11" hidden="1" x14ac:dyDescent="0.25">
      <c r="A547" s="389" t="e">
        <f>IF(D547=0,0,A546+1)</f>
        <v>#N/A</v>
      </c>
      <c r="B547" s="395" t="s">
        <v>350</v>
      </c>
      <c r="C547" s="389" t="s">
        <v>224</v>
      </c>
      <c r="D547" s="397" t="e">
        <f>SUM(D545:D546)</f>
        <v>#N/A</v>
      </c>
      <c r="E547" s="391" t="e">
        <f>VLOOKUP($F$25,таблица,72,0)</f>
        <v>#N/A</v>
      </c>
      <c r="K547" s="365" t="e">
        <f t="shared" si="119"/>
        <v>#N/A</v>
      </c>
    </row>
    <row r="548" spans="1:11" hidden="1" x14ac:dyDescent="0.25">
      <c r="A548" s="389" t="e">
        <f>IF(D548=0,0,A547+1)</f>
        <v>#N/A</v>
      </c>
      <c r="B548" s="395" t="s">
        <v>226</v>
      </c>
      <c r="C548" s="389" t="s">
        <v>224</v>
      </c>
      <c r="D548" s="397" t="e">
        <f>IF(OR(D544=0,D547=0),0,D547+D544)</f>
        <v>#N/A</v>
      </c>
      <c r="E548" s="391" t="e">
        <f>VLOOKUP($F$25,таблица,62,0)</f>
        <v>#N/A</v>
      </c>
      <c r="K548" s="365" t="e">
        <f t="shared" si="119"/>
        <v>#N/A</v>
      </c>
    </row>
    <row r="549" spans="1:11" hidden="1" x14ac:dyDescent="0.25">
      <c r="A549" s="400"/>
      <c r="B549" s="400"/>
      <c r="C549" s="400"/>
      <c r="D549" s="401"/>
      <c r="K549" s="365" t="str">
        <f>IF($F$25=0,"",1)</f>
        <v/>
      </c>
    </row>
    <row r="550" spans="1:11" ht="47.25" hidden="1" customHeight="1" x14ac:dyDescent="0.25">
      <c r="A550" s="465" t="str">
        <f>'Анализ стоимости'!$I$58</f>
        <v>Начальник финансового отдела</v>
      </c>
      <c r="B550" s="466"/>
      <c r="C550" s="402"/>
      <c r="D550" s="403" t="str">
        <f>'Анализ стоимости'!$I$59</f>
        <v>А.Ю.Кашуба</v>
      </c>
      <c r="H550" s="405" t="str">
        <f>A550</f>
        <v>Начальник финансового отдела</v>
      </c>
      <c r="K550" s="365" t="str">
        <f>IF($F$25=0,"",1)</f>
        <v/>
      </c>
    </row>
    <row r="551" spans="1:11" hidden="1" x14ac:dyDescent="0.25">
      <c r="A551" s="407"/>
      <c r="B551" s="407"/>
      <c r="C551" s="407"/>
      <c r="D551" s="408"/>
      <c r="K551" s="365" t="str">
        <f>IF($F$25=0,"",1)</f>
        <v/>
      </c>
    </row>
    <row r="552" spans="1:11" hidden="1" x14ac:dyDescent="0.25">
      <c r="A552" s="462">
        <f ca="1">TODAY()</f>
        <v>42101</v>
      </c>
      <c r="B552" s="462"/>
      <c r="C552" s="371"/>
      <c r="D552" s="371"/>
      <c r="K552" s="365" t="str">
        <f>IF($F$25=0,"",1)</f>
        <v/>
      </c>
    </row>
    <row r="553" spans="1:11" hidden="1" x14ac:dyDescent="0.25">
      <c r="A553" s="463" t="s">
        <v>258</v>
      </c>
      <c r="B553" s="463"/>
      <c r="C553" s="463"/>
      <c r="D553" s="463"/>
      <c r="H553" s="369"/>
      <c r="I553" s="369"/>
      <c r="K553" s="365" t="str">
        <f t="shared" ref="K553:K570" si="120">IF($F$26=0,"",1)</f>
        <v/>
      </c>
    </row>
    <row r="554" spans="1:11" ht="47.25" hidden="1" customHeight="1" x14ac:dyDescent="0.2">
      <c r="A554" s="458" t="e">
        <f>CONCATENATE("Наименование объекта: ",VLOOKUP($F$26,таблица,9,0))</f>
        <v>#N/A</v>
      </c>
      <c r="B554" s="458"/>
      <c r="C554" s="458"/>
      <c r="D554" s="458"/>
      <c r="J554" s="414" t="e">
        <f>A554</f>
        <v>#N/A</v>
      </c>
      <c r="K554" s="365" t="str">
        <f t="shared" si="120"/>
        <v/>
      </c>
    </row>
    <row r="555" spans="1:11" hidden="1" x14ac:dyDescent="0.25">
      <c r="A555" s="383"/>
      <c r="B555" s="372"/>
      <c r="C555" s="372"/>
      <c r="D555" s="372"/>
      <c r="K555" s="365" t="str">
        <f t="shared" si="120"/>
        <v/>
      </c>
    </row>
    <row r="556" spans="1:11" hidden="1" x14ac:dyDescent="0.25">
      <c r="A556" s="415" t="s">
        <v>218</v>
      </c>
      <c r="B556" s="378"/>
      <c r="C556" s="378"/>
      <c r="D556" s="378"/>
      <c r="K556" s="365" t="str">
        <f t="shared" si="120"/>
        <v/>
      </c>
    </row>
    <row r="557" spans="1:11" hidden="1" x14ac:dyDescent="0.25">
      <c r="A557" s="459" t="s">
        <v>219</v>
      </c>
      <c r="B557" s="459"/>
      <c r="C557" s="459"/>
      <c r="D557" s="459"/>
      <c r="K557" s="365" t="str">
        <f t="shared" si="120"/>
        <v/>
      </c>
    </row>
    <row r="558" spans="1:11" ht="31.5" hidden="1" x14ac:dyDescent="0.25">
      <c r="A558" s="385" t="s">
        <v>111</v>
      </c>
      <c r="B558" s="385" t="s">
        <v>167</v>
      </c>
      <c r="C558" s="460" t="e">
        <f>CONCATENATE("Стоимость  согласно сметной документации (руб.) в текущих ценах по состоянию на ",VLOOKUP($F$26,таблица,5,0)," г.")</f>
        <v>#N/A</v>
      </c>
      <c r="D558" s="461"/>
      <c r="I558" s="386" t="e">
        <f>C558</f>
        <v>#N/A</v>
      </c>
      <c r="K558" s="365" t="str">
        <f t="shared" si="120"/>
        <v/>
      </c>
    </row>
    <row r="559" spans="1:11" hidden="1" x14ac:dyDescent="0.25">
      <c r="A559" s="389">
        <v>1</v>
      </c>
      <c r="B559" s="390" t="s">
        <v>68</v>
      </c>
      <c r="C559" s="455" t="e">
        <f>VLOOKUP($F$26,таблица,10,0)</f>
        <v>#N/A</v>
      </c>
      <c r="D559" s="456"/>
      <c r="K559" s="365" t="str">
        <f t="shared" si="120"/>
        <v/>
      </c>
    </row>
    <row r="560" spans="1:11" hidden="1" x14ac:dyDescent="0.25">
      <c r="A560" s="389">
        <v>2</v>
      </c>
      <c r="B560" s="390" t="s">
        <v>58</v>
      </c>
      <c r="C560" s="455" t="e">
        <f>VLOOKUP($F$26,таблица,11,0)</f>
        <v>#N/A</v>
      </c>
      <c r="D560" s="456"/>
      <c r="K560" s="365" t="str">
        <f t="shared" si="120"/>
        <v/>
      </c>
    </row>
    <row r="561" spans="1:11" ht="31.5" hidden="1" x14ac:dyDescent="0.25">
      <c r="A561" s="389">
        <v>3</v>
      </c>
      <c r="B561" s="390" t="s">
        <v>8</v>
      </c>
      <c r="C561" s="455" t="e">
        <f>VLOOKUP($F$26,таблица,12,0)</f>
        <v>#N/A</v>
      </c>
      <c r="D561" s="456"/>
      <c r="K561" s="365" t="str">
        <f t="shared" si="120"/>
        <v/>
      </c>
    </row>
    <row r="562" spans="1:11" hidden="1" x14ac:dyDescent="0.25">
      <c r="A562" s="389">
        <v>4</v>
      </c>
      <c r="B562" s="390" t="s">
        <v>59</v>
      </c>
      <c r="C562" s="455" t="e">
        <f>VLOOKUP($F$26,таблица,13,0)</f>
        <v>#N/A</v>
      </c>
      <c r="D562" s="456"/>
      <c r="K562" s="365" t="str">
        <f t="shared" si="120"/>
        <v/>
      </c>
    </row>
    <row r="563" spans="1:11" hidden="1" x14ac:dyDescent="0.25">
      <c r="A563" s="389">
        <v>5</v>
      </c>
      <c r="B563" s="390" t="s">
        <v>14</v>
      </c>
      <c r="C563" s="455" t="e">
        <f>VLOOKUP($F$26,таблица,14,0)</f>
        <v>#N/A</v>
      </c>
      <c r="D563" s="456"/>
      <c r="K563" s="365" t="str">
        <f t="shared" si="120"/>
        <v/>
      </c>
    </row>
    <row r="564" spans="1:11" hidden="1" x14ac:dyDescent="0.25">
      <c r="A564" s="389">
        <v>6</v>
      </c>
      <c r="B564" s="390" t="s">
        <v>23</v>
      </c>
      <c r="C564" s="455" t="e">
        <f>VLOOKUP($F$26,таблица,18,0)</f>
        <v>#N/A</v>
      </c>
      <c r="D564" s="456"/>
      <c r="K564" s="365" t="str">
        <f t="shared" si="120"/>
        <v/>
      </c>
    </row>
    <row r="565" spans="1:11" hidden="1" x14ac:dyDescent="0.25">
      <c r="A565" s="389">
        <v>7</v>
      </c>
      <c r="B565" s="390" t="s">
        <v>156</v>
      </c>
      <c r="C565" s="455" t="e">
        <f>VLOOKUP($F$26,таблица,19,0)+VLOOKUP($F$26,таблица,21,0)+VLOOKUP($F$26,таблица,22,0)+VLOOKUP($F$26,таблица,23,0)+VLOOKUP($F$26,таблица,24,0)+VLOOKUP($F$26,таблица,25,0)+VLOOKUP($F$26,таблица,26,0)</f>
        <v>#N/A</v>
      </c>
      <c r="D565" s="456"/>
      <c r="K565" s="365" t="str">
        <f t="shared" si="120"/>
        <v/>
      </c>
    </row>
    <row r="566" spans="1:11" hidden="1" x14ac:dyDescent="0.25">
      <c r="A566" s="389">
        <v>8</v>
      </c>
      <c r="B566" s="390" t="s">
        <v>101</v>
      </c>
      <c r="C566" s="455" t="e">
        <f>VLOOKUP($F$26,таблица,31,0)</f>
        <v>#N/A</v>
      </c>
      <c r="D566" s="456"/>
      <c r="K566" s="365" t="str">
        <f t="shared" si="120"/>
        <v/>
      </c>
    </row>
    <row r="567" spans="1:11" hidden="1" x14ac:dyDescent="0.25">
      <c r="A567" s="389">
        <v>9</v>
      </c>
      <c r="B567" s="390" t="s">
        <v>241</v>
      </c>
      <c r="C567" s="455" t="e">
        <f>SUM(C559:D566)</f>
        <v>#N/A</v>
      </c>
      <c r="D567" s="456"/>
      <c r="K567" s="365" t="str">
        <f t="shared" si="120"/>
        <v/>
      </c>
    </row>
    <row r="568" spans="1:11" hidden="1" x14ac:dyDescent="0.25">
      <c r="A568" s="464" t="s">
        <v>231</v>
      </c>
      <c r="B568" s="464"/>
      <c r="C568" s="464"/>
      <c r="D568" s="464"/>
      <c r="K568" s="365" t="str">
        <f t="shared" si="120"/>
        <v/>
      </c>
    </row>
    <row r="569" spans="1:11" ht="31.5" hidden="1" x14ac:dyDescent="0.25">
      <c r="A569" s="392" t="s">
        <v>111</v>
      </c>
      <c r="B569" s="385" t="s">
        <v>36</v>
      </c>
      <c r="C569" s="385" t="s">
        <v>221</v>
      </c>
      <c r="D569" s="385" t="s">
        <v>168</v>
      </c>
      <c r="K569" s="365" t="str">
        <f t="shared" si="120"/>
        <v/>
      </c>
    </row>
    <row r="570" spans="1:11" hidden="1" x14ac:dyDescent="0.25">
      <c r="A570" s="389">
        <v>10</v>
      </c>
      <c r="B570" s="389" t="e">
        <f>VLOOKUP((VLOOKUP($F$26,таблица,8,0)),рем_содер,2,0)</f>
        <v>#N/A</v>
      </c>
      <c r="C570" s="389"/>
      <c r="D570" s="390"/>
      <c r="K570" s="365" t="str">
        <f t="shared" si="120"/>
        <v/>
      </c>
    </row>
    <row r="571" spans="1:11" hidden="1" x14ac:dyDescent="0.25">
      <c r="A571" s="389" t="e">
        <f>IF(D571=0,0,A570+1)</f>
        <v>#N/A</v>
      </c>
      <c r="B571" s="390" t="e">
        <f>CONCATENATE("2015 г. (",CHOOSE(VLOOKUP($F$26,таблица,63,0),"Январь","Февраль","Март","Апрель","Май","Июнь","Июль","Август","Сентябрь","Октябрь","Ноябрь","Декабрь")," - ",CHOOSE(VLOOKUP($F$26,таблица,64,0),"Январь","Февраль","Март","Апрель","Май","Июнь","Июль","Август","Сентябрь","Октябрь","Ноябрь","Декабрь"),")")</f>
        <v>#N/A</v>
      </c>
      <c r="C571" s="389" t="s">
        <v>222</v>
      </c>
      <c r="D571" s="417" t="e">
        <f>IF(D573=0,0,VLOOKUP($F$26,таблица,69,0)*100+100)</f>
        <v>#N/A</v>
      </c>
      <c r="K571" s="365" t="e">
        <f>IF(D571=0,"",1)</f>
        <v>#N/A</v>
      </c>
    </row>
    <row r="572" spans="1:11" hidden="1" x14ac:dyDescent="0.25">
      <c r="A572" s="389" t="e">
        <f>IF(D572=0,0,IF(D571=0,A570+1,A571+1))</f>
        <v>#N/A</v>
      </c>
      <c r="B572" s="390" t="e">
        <f>CONCATENATE("2016 г. (",CHOOSE(VLOOKUP($F$26,таблица,65,0),"Январь","Февраль","Март","Апрель","Май","Июнь","Июль","Август","Сентябрь","Октябрь","Ноябрь","Декабрь")," - ",CHOOSE(VLOOKUP($F$26,таблица,66,0),"Январь","Февраль","Март","Апрель","Май","Июнь","Июль","Август","Сентябрь","Октябрь","Ноябрь","Декабрь"),")")</f>
        <v>#N/A</v>
      </c>
      <c r="C572" s="389" t="s">
        <v>222</v>
      </c>
      <c r="D572" s="417" t="e">
        <f>IF(D574=0,0,VLOOKUP($F$26,таблица,70,0)*100+100)</f>
        <v>#N/A</v>
      </c>
      <c r="K572" s="365" t="e">
        <f t="shared" ref="K572:K574" si="121">IF(D572=0,"",1)</f>
        <v>#N/A</v>
      </c>
    </row>
    <row r="573" spans="1:11" hidden="1" x14ac:dyDescent="0.25">
      <c r="A573" s="389" t="e">
        <f>IF(D573=0,0,IF(D572=0,A571+1,A572+1))</f>
        <v>#N/A</v>
      </c>
      <c r="B573" s="390" t="s">
        <v>223</v>
      </c>
      <c r="C573" s="389" t="s">
        <v>224</v>
      </c>
      <c r="D573" s="394" t="e">
        <f>VLOOKUP($F$26,таблица,46,0)</f>
        <v>#N/A</v>
      </c>
      <c r="K573" s="365" t="e">
        <f t="shared" si="121"/>
        <v>#N/A</v>
      </c>
    </row>
    <row r="574" spans="1:11" hidden="1" x14ac:dyDescent="0.25">
      <c r="A574" s="389" t="e">
        <f>IF(D574=0,0,IF(D573=0,A572+1,A573+1))</f>
        <v>#N/A</v>
      </c>
      <c r="B574" s="390" t="s">
        <v>351</v>
      </c>
      <c r="C574" s="389" t="s">
        <v>224</v>
      </c>
      <c r="D574" s="394" t="e">
        <f>VLOOKUP($F$26,таблица,56,0)</f>
        <v>#N/A</v>
      </c>
      <c r="K574" s="365" t="e">
        <f t="shared" si="121"/>
        <v>#N/A</v>
      </c>
    </row>
    <row r="575" spans="1:11" hidden="1" x14ac:dyDescent="0.25">
      <c r="A575" s="464" t="s">
        <v>225</v>
      </c>
      <c r="B575" s="464"/>
      <c r="C575" s="464"/>
      <c r="D575" s="464"/>
      <c r="K575" s="365" t="str">
        <f>IF($F$26=0,"",1)</f>
        <v/>
      </c>
    </row>
    <row r="576" spans="1:11" ht="31.5" hidden="1" x14ac:dyDescent="0.25">
      <c r="A576" s="389" t="e">
        <f>IF(D576=0,0,IF(D574=0,IF(D573=0,A570+1,A573+1),A574+1))</f>
        <v>#N/A</v>
      </c>
      <c r="B576" s="395" t="s">
        <v>275</v>
      </c>
      <c r="C576" s="389" t="s">
        <v>224</v>
      </c>
      <c r="D576" s="394" t="e">
        <f>SUM(VLOOKUP($F$26,таблица,41,0),D573)</f>
        <v>#N/A</v>
      </c>
      <c r="E576" s="365"/>
      <c r="K576" s="365" t="e">
        <f t="shared" ref="K576:K582" si="122">IF(D576=0,"",1)</f>
        <v>#N/A</v>
      </c>
    </row>
    <row r="577" spans="1:11" hidden="1" x14ac:dyDescent="0.25">
      <c r="A577" s="389" t="e">
        <f>IF(D577=0,0,A576+1)</f>
        <v>#N/A</v>
      </c>
      <c r="B577" s="395" t="s">
        <v>227</v>
      </c>
      <c r="C577" s="389" t="s">
        <v>224</v>
      </c>
      <c r="D577" s="394" t="e">
        <f>VLOOKUP($F$26,таблица,51,0)</f>
        <v>#N/A</v>
      </c>
      <c r="E577" s="365"/>
      <c r="K577" s="365" t="e">
        <f t="shared" si="122"/>
        <v>#N/A</v>
      </c>
    </row>
    <row r="578" spans="1:11" hidden="1" x14ac:dyDescent="0.25">
      <c r="A578" s="389" t="e">
        <f>IF(D578=0,0,A577+1)</f>
        <v>#N/A</v>
      </c>
      <c r="B578" s="395" t="s">
        <v>274</v>
      </c>
      <c r="C578" s="389" t="s">
        <v>224</v>
      </c>
      <c r="D578" s="397" t="e">
        <f>SUM(D576:D577)</f>
        <v>#N/A</v>
      </c>
      <c r="E578" s="391" t="e">
        <f>VLOOKUP($F$26,таблица,71,0)</f>
        <v>#N/A</v>
      </c>
      <c r="K578" s="365" t="e">
        <f t="shared" si="122"/>
        <v>#N/A</v>
      </c>
    </row>
    <row r="579" spans="1:11" ht="31.5" hidden="1" x14ac:dyDescent="0.25">
      <c r="A579" s="389" t="e">
        <f>IF(D579=0,0,IF(D578=0,IF(D574=0,A570+1,A574+1),A578+1))</f>
        <v>#N/A</v>
      </c>
      <c r="B579" s="395" t="s">
        <v>349</v>
      </c>
      <c r="C579" s="389" t="s">
        <v>224</v>
      </c>
      <c r="D579" s="394" t="e">
        <f>VLOOKUP($F$26,таблица,36,0)-VLOOKUP($F$26,таблица,41,0)+D574</f>
        <v>#N/A</v>
      </c>
      <c r="K579" s="365" t="e">
        <f t="shared" si="122"/>
        <v>#N/A</v>
      </c>
    </row>
    <row r="580" spans="1:11" hidden="1" x14ac:dyDescent="0.25">
      <c r="A580" s="389" t="e">
        <f>IF(D580=0,0,A579+1)</f>
        <v>#N/A</v>
      </c>
      <c r="B580" s="395" t="s">
        <v>227</v>
      </c>
      <c r="C580" s="389" t="s">
        <v>224</v>
      </c>
      <c r="D580" s="394" t="e">
        <f>VLOOKUP($F$26,таблица,61,0)</f>
        <v>#N/A</v>
      </c>
      <c r="K580" s="365" t="e">
        <f t="shared" si="122"/>
        <v>#N/A</v>
      </c>
    </row>
    <row r="581" spans="1:11" hidden="1" x14ac:dyDescent="0.25">
      <c r="A581" s="389" t="e">
        <f>IF(D581=0,0,A580+1)</f>
        <v>#N/A</v>
      </c>
      <c r="B581" s="395" t="s">
        <v>350</v>
      </c>
      <c r="C581" s="389" t="s">
        <v>224</v>
      </c>
      <c r="D581" s="397" t="e">
        <f>SUM(D579:D580)</f>
        <v>#N/A</v>
      </c>
      <c r="E581" s="391" t="e">
        <f>VLOOKUP($F$26,таблица,72,0)</f>
        <v>#N/A</v>
      </c>
      <c r="K581" s="365" t="e">
        <f t="shared" si="122"/>
        <v>#N/A</v>
      </c>
    </row>
    <row r="582" spans="1:11" hidden="1" x14ac:dyDescent="0.25">
      <c r="A582" s="389" t="e">
        <f>IF(D582=0,0,A581+1)</f>
        <v>#N/A</v>
      </c>
      <c r="B582" s="395" t="s">
        <v>226</v>
      </c>
      <c r="C582" s="389" t="s">
        <v>224</v>
      </c>
      <c r="D582" s="397" t="e">
        <f>IF(OR(D578=0,D581=0),0,D581+D578)</f>
        <v>#N/A</v>
      </c>
      <c r="E582" s="391" t="e">
        <f>VLOOKUP($F$26,таблица,62,0)</f>
        <v>#N/A</v>
      </c>
      <c r="K582" s="365" t="e">
        <f t="shared" si="122"/>
        <v>#N/A</v>
      </c>
    </row>
    <row r="583" spans="1:11" hidden="1" x14ac:dyDescent="0.25">
      <c r="A583" s="400"/>
      <c r="B583" s="400"/>
      <c r="C583" s="400"/>
      <c r="D583" s="401"/>
      <c r="K583" s="365" t="str">
        <f>IF($F$26=0,"",1)</f>
        <v/>
      </c>
    </row>
    <row r="584" spans="1:11" ht="47.25" hidden="1" customHeight="1" x14ac:dyDescent="0.25">
      <c r="A584" s="465" t="str">
        <f>'Анализ стоимости'!$I$58</f>
        <v>Начальник финансового отдела</v>
      </c>
      <c r="B584" s="466"/>
      <c r="C584" s="402"/>
      <c r="D584" s="403" t="str">
        <f>'Анализ стоимости'!$I$59</f>
        <v>А.Ю.Кашуба</v>
      </c>
      <c r="H584" s="405" t="str">
        <f>A584</f>
        <v>Начальник финансового отдела</v>
      </c>
      <c r="K584" s="365" t="str">
        <f>IF($F$26=0,"",1)</f>
        <v/>
      </c>
    </row>
    <row r="585" spans="1:11" hidden="1" x14ac:dyDescent="0.25">
      <c r="A585" s="407"/>
      <c r="B585" s="407"/>
      <c r="C585" s="407"/>
      <c r="D585" s="408"/>
      <c r="K585" s="365" t="str">
        <f>IF($F$26=0,"",1)</f>
        <v/>
      </c>
    </row>
    <row r="586" spans="1:11" hidden="1" x14ac:dyDescent="0.25">
      <c r="A586" s="462">
        <f ca="1">TODAY()</f>
        <v>42101</v>
      </c>
      <c r="B586" s="462"/>
      <c r="C586" s="371"/>
      <c r="D586" s="371"/>
      <c r="K586" s="365" t="str">
        <f>IF($F$26=0,"",1)</f>
        <v/>
      </c>
    </row>
    <row r="587" spans="1:11" hidden="1" x14ac:dyDescent="0.25">
      <c r="A587" s="463" t="s">
        <v>259</v>
      </c>
      <c r="B587" s="463"/>
      <c r="C587" s="463"/>
      <c r="D587" s="463"/>
      <c r="H587" s="369"/>
      <c r="I587" s="369"/>
      <c r="K587" s="365" t="str">
        <f t="shared" ref="K587:K604" si="123">IF($F$27=0,"",1)</f>
        <v/>
      </c>
    </row>
    <row r="588" spans="1:11" ht="47.25" hidden="1" customHeight="1" x14ac:dyDescent="0.2">
      <c r="A588" s="458" t="e">
        <f>CONCATENATE("Наименование объекта: ",VLOOKUP($F$27,таблица,9,0))</f>
        <v>#N/A</v>
      </c>
      <c r="B588" s="458"/>
      <c r="C588" s="458"/>
      <c r="D588" s="458"/>
      <c r="J588" s="414" t="e">
        <f>A588</f>
        <v>#N/A</v>
      </c>
      <c r="K588" s="365" t="str">
        <f t="shared" si="123"/>
        <v/>
      </c>
    </row>
    <row r="589" spans="1:11" hidden="1" x14ac:dyDescent="0.25">
      <c r="A589" s="383"/>
      <c r="B589" s="372"/>
      <c r="C589" s="372"/>
      <c r="D589" s="372"/>
      <c r="K589" s="365" t="str">
        <f t="shared" si="123"/>
        <v/>
      </c>
    </row>
    <row r="590" spans="1:11" hidden="1" x14ac:dyDescent="0.25">
      <c r="A590" s="415" t="s">
        <v>218</v>
      </c>
      <c r="B590" s="378"/>
      <c r="C590" s="378"/>
      <c r="D590" s="378"/>
      <c r="K590" s="365" t="str">
        <f t="shared" si="123"/>
        <v/>
      </c>
    </row>
    <row r="591" spans="1:11" hidden="1" x14ac:dyDescent="0.25">
      <c r="A591" s="459" t="s">
        <v>219</v>
      </c>
      <c r="B591" s="459"/>
      <c r="C591" s="459"/>
      <c r="D591" s="459"/>
      <c r="K591" s="365" t="str">
        <f t="shared" si="123"/>
        <v/>
      </c>
    </row>
    <row r="592" spans="1:11" ht="31.5" hidden="1" x14ac:dyDescent="0.25">
      <c r="A592" s="385" t="s">
        <v>111</v>
      </c>
      <c r="B592" s="385" t="s">
        <v>167</v>
      </c>
      <c r="C592" s="460" t="e">
        <f>CONCATENATE("Стоимость  согласно сметной документации (руб.) в текущих ценах по состоянию на ",VLOOKUP($F$27,таблица,5,0)," г.")</f>
        <v>#N/A</v>
      </c>
      <c r="D592" s="461"/>
      <c r="I592" s="386" t="e">
        <f>C592</f>
        <v>#N/A</v>
      </c>
      <c r="K592" s="365" t="str">
        <f t="shared" si="123"/>
        <v/>
      </c>
    </row>
    <row r="593" spans="1:11" hidden="1" x14ac:dyDescent="0.25">
      <c r="A593" s="389">
        <v>1</v>
      </c>
      <c r="B593" s="390" t="s">
        <v>68</v>
      </c>
      <c r="C593" s="455" t="e">
        <f>VLOOKUP($F$27,таблица,10,0)</f>
        <v>#N/A</v>
      </c>
      <c r="D593" s="456"/>
      <c r="K593" s="365" t="str">
        <f t="shared" si="123"/>
        <v/>
      </c>
    </row>
    <row r="594" spans="1:11" hidden="1" x14ac:dyDescent="0.25">
      <c r="A594" s="389">
        <v>2</v>
      </c>
      <c r="B594" s="390" t="s">
        <v>58</v>
      </c>
      <c r="C594" s="455" t="e">
        <f>VLOOKUP($F$27,таблица,11,0)</f>
        <v>#N/A</v>
      </c>
      <c r="D594" s="456"/>
      <c r="K594" s="365" t="str">
        <f t="shared" si="123"/>
        <v/>
      </c>
    </row>
    <row r="595" spans="1:11" ht="31.5" hidden="1" x14ac:dyDescent="0.25">
      <c r="A595" s="389">
        <v>3</v>
      </c>
      <c r="B595" s="390" t="s">
        <v>8</v>
      </c>
      <c r="C595" s="455" t="e">
        <f>VLOOKUP($F$27,таблица,12,0)</f>
        <v>#N/A</v>
      </c>
      <c r="D595" s="456"/>
      <c r="K595" s="365" t="str">
        <f t="shared" si="123"/>
        <v/>
      </c>
    </row>
    <row r="596" spans="1:11" hidden="1" x14ac:dyDescent="0.25">
      <c r="A596" s="389">
        <v>4</v>
      </c>
      <c r="B596" s="390" t="s">
        <v>59</v>
      </c>
      <c r="C596" s="455" t="e">
        <f>VLOOKUP($F$27,таблица,13,0)</f>
        <v>#N/A</v>
      </c>
      <c r="D596" s="456"/>
      <c r="K596" s="365" t="str">
        <f t="shared" si="123"/>
        <v/>
      </c>
    </row>
    <row r="597" spans="1:11" hidden="1" x14ac:dyDescent="0.25">
      <c r="A597" s="389">
        <v>5</v>
      </c>
      <c r="B597" s="390" t="s">
        <v>14</v>
      </c>
      <c r="C597" s="455" t="e">
        <f>VLOOKUP($F$27,таблица,14,0)</f>
        <v>#N/A</v>
      </c>
      <c r="D597" s="456"/>
      <c r="K597" s="365" t="str">
        <f t="shared" si="123"/>
        <v/>
      </c>
    </row>
    <row r="598" spans="1:11" hidden="1" x14ac:dyDescent="0.25">
      <c r="A598" s="389">
        <v>6</v>
      </c>
      <c r="B598" s="390" t="s">
        <v>23</v>
      </c>
      <c r="C598" s="455" t="e">
        <f>VLOOKUP($F$27,таблица,18,0)</f>
        <v>#N/A</v>
      </c>
      <c r="D598" s="456"/>
      <c r="K598" s="365" t="str">
        <f t="shared" si="123"/>
        <v/>
      </c>
    </row>
    <row r="599" spans="1:11" hidden="1" x14ac:dyDescent="0.25">
      <c r="A599" s="389">
        <v>7</v>
      </c>
      <c r="B599" s="390" t="s">
        <v>156</v>
      </c>
      <c r="C599" s="455" t="e">
        <f>VLOOKUP($F$27,таблица,19,0)+VLOOKUP($F$27,таблица,21,0)+VLOOKUP($F$27,таблица,22,0)+VLOOKUP($F$27,таблица,23,0)+VLOOKUP($F$27,таблица,24,0)+VLOOKUP($F$27,таблица,25,0)+VLOOKUP($F$27,таблица,26,0)</f>
        <v>#N/A</v>
      </c>
      <c r="D599" s="456"/>
      <c r="K599" s="365" t="str">
        <f t="shared" si="123"/>
        <v/>
      </c>
    </row>
    <row r="600" spans="1:11" hidden="1" x14ac:dyDescent="0.25">
      <c r="A600" s="389">
        <v>8</v>
      </c>
      <c r="B600" s="390" t="s">
        <v>101</v>
      </c>
      <c r="C600" s="455" t="e">
        <f>VLOOKUP($F$27,таблица,31,0)</f>
        <v>#N/A</v>
      </c>
      <c r="D600" s="456"/>
      <c r="K600" s="365" t="str">
        <f t="shared" si="123"/>
        <v/>
      </c>
    </row>
    <row r="601" spans="1:11" hidden="1" x14ac:dyDescent="0.25">
      <c r="A601" s="389">
        <v>9</v>
      </c>
      <c r="B601" s="390" t="s">
        <v>241</v>
      </c>
      <c r="C601" s="455" t="e">
        <f>SUM(C593:D600)</f>
        <v>#N/A</v>
      </c>
      <c r="D601" s="456"/>
      <c r="K601" s="365" t="str">
        <f t="shared" si="123"/>
        <v/>
      </c>
    </row>
    <row r="602" spans="1:11" hidden="1" x14ac:dyDescent="0.25">
      <c r="A602" s="464" t="s">
        <v>231</v>
      </c>
      <c r="B602" s="464"/>
      <c r="C602" s="464"/>
      <c r="D602" s="464"/>
      <c r="K602" s="365" t="str">
        <f t="shared" si="123"/>
        <v/>
      </c>
    </row>
    <row r="603" spans="1:11" ht="31.5" hidden="1" x14ac:dyDescent="0.25">
      <c r="A603" s="392" t="s">
        <v>111</v>
      </c>
      <c r="B603" s="385" t="s">
        <v>36</v>
      </c>
      <c r="C603" s="385" t="s">
        <v>221</v>
      </c>
      <c r="D603" s="385" t="s">
        <v>168</v>
      </c>
      <c r="K603" s="365" t="str">
        <f t="shared" si="123"/>
        <v/>
      </c>
    </row>
    <row r="604" spans="1:11" hidden="1" x14ac:dyDescent="0.25">
      <c r="A604" s="389">
        <v>10</v>
      </c>
      <c r="B604" s="389" t="e">
        <f>VLOOKUP((VLOOKUP($F$27,таблица,8,0)),рем_содер,2,0)</f>
        <v>#N/A</v>
      </c>
      <c r="C604" s="389"/>
      <c r="D604" s="390"/>
      <c r="K604" s="365" t="str">
        <f t="shared" si="123"/>
        <v/>
      </c>
    </row>
    <row r="605" spans="1:11" hidden="1" x14ac:dyDescent="0.25">
      <c r="A605" s="389" t="e">
        <f>IF(D605=0,0,A604+1)</f>
        <v>#N/A</v>
      </c>
      <c r="B605" s="390" t="e">
        <f>CONCATENATE("2015 г. (",CHOOSE(VLOOKUP($F$27,таблица,63,0),"Январь","Февраль","Март","Апрель","Май","Июнь","Июль","Август","Сентябрь","Октябрь","Ноябрь","Декабрь")," - ",CHOOSE(VLOOKUP($F$27,таблица,64,0),"Январь","Февраль","Март","Апрель","Май","Июнь","Июль","Август","Сентябрь","Октябрь","Ноябрь","Декабрь"),")")</f>
        <v>#N/A</v>
      </c>
      <c r="C605" s="389" t="s">
        <v>222</v>
      </c>
      <c r="D605" s="417" t="e">
        <f>IF(D607=0,0,VLOOKUP($F$27,таблица,69,0)*100+100)</f>
        <v>#N/A</v>
      </c>
      <c r="K605" s="365" t="e">
        <f>IF(D605=0,"",1)</f>
        <v>#N/A</v>
      </c>
    </row>
    <row r="606" spans="1:11" hidden="1" x14ac:dyDescent="0.25">
      <c r="A606" s="389" t="e">
        <f>IF(D606=0,0,IF(D605=0,A604+1,A605+1))</f>
        <v>#N/A</v>
      </c>
      <c r="B606" s="390" t="e">
        <f>CONCATENATE("2016 г. (",CHOOSE(VLOOKUP($F$27,таблица,65,0),"Январь","Февраль","Март","Апрель","Май","Июнь","Июль","Август","Сентябрь","Октябрь","Ноябрь","Декабрь")," - ",CHOOSE(VLOOKUP($F$27,таблица,66,0),"Январь","Февраль","Март","Апрель","Май","Июнь","Июль","Август","Сентябрь","Октябрь","Ноябрь","Декабрь"),")")</f>
        <v>#N/A</v>
      </c>
      <c r="C606" s="389" t="s">
        <v>222</v>
      </c>
      <c r="D606" s="417" t="e">
        <f>IF(D608=0,0,VLOOKUP($F$27,таблица,70,0)*100+100)</f>
        <v>#N/A</v>
      </c>
      <c r="K606" s="365" t="e">
        <f t="shared" ref="K606:K608" si="124">IF(D606=0,"",1)</f>
        <v>#N/A</v>
      </c>
    </row>
    <row r="607" spans="1:11" hidden="1" x14ac:dyDescent="0.25">
      <c r="A607" s="389" t="e">
        <f>IF(D607=0,0,IF(D606=0,A605+1,A606+1))</f>
        <v>#N/A</v>
      </c>
      <c r="B607" s="390" t="s">
        <v>223</v>
      </c>
      <c r="C607" s="389" t="s">
        <v>224</v>
      </c>
      <c r="D607" s="394" t="e">
        <f>VLOOKUP($F$27,таблица,46,0)</f>
        <v>#N/A</v>
      </c>
      <c r="K607" s="365" t="e">
        <f t="shared" si="124"/>
        <v>#N/A</v>
      </c>
    </row>
    <row r="608" spans="1:11" hidden="1" x14ac:dyDescent="0.25">
      <c r="A608" s="389" t="e">
        <f>IF(D608=0,0,IF(D607=0,A606+1,A607+1))</f>
        <v>#N/A</v>
      </c>
      <c r="B608" s="390" t="s">
        <v>351</v>
      </c>
      <c r="C608" s="389" t="s">
        <v>224</v>
      </c>
      <c r="D608" s="394" t="e">
        <f>VLOOKUP($F$27,таблица,56,0)</f>
        <v>#N/A</v>
      </c>
      <c r="K608" s="365" t="e">
        <f t="shared" si="124"/>
        <v>#N/A</v>
      </c>
    </row>
    <row r="609" spans="1:11" hidden="1" x14ac:dyDescent="0.25">
      <c r="A609" s="464" t="s">
        <v>225</v>
      </c>
      <c r="B609" s="464"/>
      <c r="C609" s="464"/>
      <c r="D609" s="464"/>
      <c r="K609" s="365" t="str">
        <f>IF($F$27=0,"",1)</f>
        <v/>
      </c>
    </row>
    <row r="610" spans="1:11" ht="31.5" hidden="1" x14ac:dyDescent="0.25">
      <c r="A610" s="389" t="e">
        <f>IF(D610=0,0,IF(D608=0,IF(D607=0,A604+1,A607+1),A608+1))</f>
        <v>#N/A</v>
      </c>
      <c r="B610" s="395" t="s">
        <v>275</v>
      </c>
      <c r="C610" s="389" t="s">
        <v>224</v>
      </c>
      <c r="D610" s="394" t="e">
        <f>SUM(VLOOKUP($F$27,таблица,41,0),D607)</f>
        <v>#N/A</v>
      </c>
      <c r="E610" s="365"/>
      <c r="K610" s="365" t="e">
        <f t="shared" ref="K610:K616" si="125">IF(D610=0,"",1)</f>
        <v>#N/A</v>
      </c>
    </row>
    <row r="611" spans="1:11" hidden="1" x14ac:dyDescent="0.25">
      <c r="A611" s="389" t="e">
        <f>IF(D611=0,0,A610+1)</f>
        <v>#N/A</v>
      </c>
      <c r="B611" s="395" t="s">
        <v>227</v>
      </c>
      <c r="C611" s="389" t="s">
        <v>224</v>
      </c>
      <c r="D611" s="394" t="e">
        <f>VLOOKUP($F$27,таблица,51,0)</f>
        <v>#N/A</v>
      </c>
      <c r="E611" s="365"/>
      <c r="K611" s="365" t="e">
        <f t="shared" si="125"/>
        <v>#N/A</v>
      </c>
    </row>
    <row r="612" spans="1:11" hidden="1" x14ac:dyDescent="0.25">
      <c r="A612" s="389" t="e">
        <f>IF(D612=0,0,A611+1)</f>
        <v>#N/A</v>
      </c>
      <c r="B612" s="395" t="s">
        <v>274</v>
      </c>
      <c r="C612" s="389" t="s">
        <v>224</v>
      </c>
      <c r="D612" s="397" t="e">
        <f>SUM(D610:D611)</f>
        <v>#N/A</v>
      </c>
      <c r="E612" s="391" t="e">
        <f>VLOOKUP($F$27,таблица,71,0)</f>
        <v>#N/A</v>
      </c>
      <c r="K612" s="365" t="e">
        <f t="shared" si="125"/>
        <v>#N/A</v>
      </c>
    </row>
    <row r="613" spans="1:11" ht="31.5" hidden="1" x14ac:dyDescent="0.25">
      <c r="A613" s="389" t="e">
        <f>IF(D613=0,0,IF(D612=0,IF(D608=0,A604+1,A608+1),A612+1))</f>
        <v>#N/A</v>
      </c>
      <c r="B613" s="395" t="s">
        <v>349</v>
      </c>
      <c r="C613" s="389" t="s">
        <v>224</v>
      </c>
      <c r="D613" s="394" t="e">
        <f>VLOOKUP($F$27,таблица,36,0)-VLOOKUP($F$27,таблица,41,0)+D608</f>
        <v>#N/A</v>
      </c>
      <c r="K613" s="365" t="e">
        <f t="shared" si="125"/>
        <v>#N/A</v>
      </c>
    </row>
    <row r="614" spans="1:11" hidden="1" x14ac:dyDescent="0.25">
      <c r="A614" s="389" t="e">
        <f>IF(D614=0,0,A613+1)</f>
        <v>#N/A</v>
      </c>
      <c r="B614" s="395" t="s">
        <v>227</v>
      </c>
      <c r="C614" s="389" t="s">
        <v>224</v>
      </c>
      <c r="D614" s="394" t="e">
        <f>VLOOKUP($F$27,таблица,61,0)</f>
        <v>#N/A</v>
      </c>
      <c r="K614" s="365" t="e">
        <f t="shared" si="125"/>
        <v>#N/A</v>
      </c>
    </row>
    <row r="615" spans="1:11" hidden="1" x14ac:dyDescent="0.25">
      <c r="A615" s="389" t="e">
        <f>IF(D615=0,0,A614+1)</f>
        <v>#N/A</v>
      </c>
      <c r="B615" s="395" t="s">
        <v>350</v>
      </c>
      <c r="C615" s="389" t="s">
        <v>224</v>
      </c>
      <c r="D615" s="397" t="e">
        <f>SUM(D613:D614)</f>
        <v>#N/A</v>
      </c>
      <c r="E615" s="391" t="e">
        <f>VLOOKUP($F$27,таблица,72,0)</f>
        <v>#N/A</v>
      </c>
      <c r="K615" s="365" t="e">
        <f t="shared" si="125"/>
        <v>#N/A</v>
      </c>
    </row>
    <row r="616" spans="1:11" hidden="1" x14ac:dyDescent="0.25">
      <c r="A616" s="389" t="e">
        <f>IF(D616=0,0,A615+1)</f>
        <v>#N/A</v>
      </c>
      <c r="B616" s="395" t="s">
        <v>226</v>
      </c>
      <c r="C616" s="389" t="s">
        <v>224</v>
      </c>
      <c r="D616" s="397" t="e">
        <f>IF(OR(D612=0,D615=0),0,D615+D612)</f>
        <v>#N/A</v>
      </c>
      <c r="E616" s="391" t="e">
        <f>VLOOKUP($F$27,таблица,62,0)</f>
        <v>#N/A</v>
      </c>
      <c r="K616" s="365" t="e">
        <f t="shared" si="125"/>
        <v>#N/A</v>
      </c>
    </row>
    <row r="617" spans="1:11" hidden="1" x14ac:dyDescent="0.25">
      <c r="A617" s="400"/>
      <c r="B617" s="400"/>
      <c r="C617" s="400"/>
      <c r="D617" s="401"/>
      <c r="K617" s="365" t="str">
        <f>IF($F$27=0,"",1)</f>
        <v/>
      </c>
    </row>
    <row r="618" spans="1:11" ht="47.25" hidden="1" customHeight="1" x14ac:dyDescent="0.25">
      <c r="A618" s="465" t="str">
        <f>'Анализ стоимости'!$I$58</f>
        <v>Начальник финансового отдела</v>
      </c>
      <c r="B618" s="466"/>
      <c r="C618" s="402"/>
      <c r="D618" s="403" t="str">
        <f>'Анализ стоимости'!$I$59</f>
        <v>А.Ю.Кашуба</v>
      </c>
      <c r="H618" s="405" t="str">
        <f>A618</f>
        <v>Начальник финансового отдела</v>
      </c>
      <c r="K618" s="365" t="str">
        <f>IF($F$27=0,"",1)</f>
        <v/>
      </c>
    </row>
    <row r="619" spans="1:11" hidden="1" x14ac:dyDescent="0.25">
      <c r="A619" s="407"/>
      <c r="B619" s="407"/>
      <c r="C619" s="407"/>
      <c r="D619" s="408"/>
      <c r="K619" s="365" t="str">
        <f>IF($F$27=0,"",1)</f>
        <v/>
      </c>
    </row>
    <row r="620" spans="1:11" hidden="1" x14ac:dyDescent="0.25">
      <c r="A620" s="462">
        <f ca="1">TODAY()</f>
        <v>42101</v>
      </c>
      <c r="B620" s="462"/>
      <c r="C620" s="371"/>
      <c r="D620" s="371"/>
      <c r="K620" s="365" t="str">
        <f>IF($F$27=0,"",1)</f>
        <v/>
      </c>
    </row>
    <row r="621" spans="1:11" hidden="1" x14ac:dyDescent="0.25">
      <c r="A621" s="463" t="s">
        <v>260</v>
      </c>
      <c r="B621" s="463"/>
      <c r="C621" s="463"/>
      <c r="D621" s="463"/>
      <c r="H621" s="369"/>
      <c r="I621" s="369"/>
      <c r="K621" s="365" t="str">
        <f t="shared" ref="K621:K638" si="126">IF($F$28=0,"",1)</f>
        <v/>
      </c>
    </row>
    <row r="622" spans="1:11" ht="47.25" hidden="1" customHeight="1" x14ac:dyDescent="0.2">
      <c r="A622" s="458" t="e">
        <f>CONCATENATE("Наименование объекта: ",VLOOKUP($F$28,таблица,9,0))</f>
        <v>#N/A</v>
      </c>
      <c r="B622" s="458"/>
      <c r="C622" s="458"/>
      <c r="D622" s="458"/>
      <c r="J622" s="414" t="e">
        <f>A622</f>
        <v>#N/A</v>
      </c>
      <c r="K622" s="365" t="str">
        <f t="shared" si="126"/>
        <v/>
      </c>
    </row>
    <row r="623" spans="1:11" hidden="1" x14ac:dyDescent="0.25">
      <c r="A623" s="383"/>
      <c r="B623" s="372"/>
      <c r="C623" s="372"/>
      <c r="D623" s="372"/>
      <c r="K623" s="365" t="str">
        <f t="shared" si="126"/>
        <v/>
      </c>
    </row>
    <row r="624" spans="1:11" hidden="1" x14ac:dyDescent="0.25">
      <c r="A624" s="415" t="s">
        <v>218</v>
      </c>
      <c r="B624" s="378"/>
      <c r="C624" s="378"/>
      <c r="D624" s="378"/>
      <c r="K624" s="365" t="str">
        <f t="shared" si="126"/>
        <v/>
      </c>
    </row>
    <row r="625" spans="1:11" hidden="1" x14ac:dyDescent="0.25">
      <c r="A625" s="459" t="s">
        <v>219</v>
      </c>
      <c r="B625" s="459"/>
      <c r="C625" s="459"/>
      <c r="D625" s="459"/>
      <c r="K625" s="365" t="str">
        <f t="shared" si="126"/>
        <v/>
      </c>
    </row>
    <row r="626" spans="1:11" ht="31.5" hidden="1" x14ac:dyDescent="0.25">
      <c r="A626" s="385" t="s">
        <v>111</v>
      </c>
      <c r="B626" s="385" t="s">
        <v>167</v>
      </c>
      <c r="C626" s="460" t="e">
        <f>CONCATENATE("Стоимость  согласно сметной документации (руб.) в текущих ценах по состоянию на ",VLOOKUP($F$28,таблица,5,0)," г.")</f>
        <v>#N/A</v>
      </c>
      <c r="D626" s="461"/>
      <c r="I626" s="386" t="e">
        <f>C626</f>
        <v>#N/A</v>
      </c>
      <c r="K626" s="365" t="str">
        <f t="shared" si="126"/>
        <v/>
      </c>
    </row>
    <row r="627" spans="1:11" hidden="1" x14ac:dyDescent="0.25">
      <c r="A627" s="389">
        <v>1</v>
      </c>
      <c r="B627" s="390" t="s">
        <v>68</v>
      </c>
      <c r="C627" s="455" t="e">
        <f>VLOOKUP($F$28,таблица,10,0)</f>
        <v>#N/A</v>
      </c>
      <c r="D627" s="456"/>
      <c r="K627" s="365" t="str">
        <f t="shared" si="126"/>
        <v/>
      </c>
    </row>
    <row r="628" spans="1:11" hidden="1" x14ac:dyDescent="0.25">
      <c r="A628" s="389">
        <v>2</v>
      </c>
      <c r="B628" s="390" t="s">
        <v>58</v>
      </c>
      <c r="C628" s="455" t="e">
        <f>VLOOKUP($F$28,таблица,11,0)</f>
        <v>#N/A</v>
      </c>
      <c r="D628" s="456"/>
      <c r="K628" s="365" t="str">
        <f t="shared" si="126"/>
        <v/>
      </c>
    </row>
    <row r="629" spans="1:11" ht="31.5" hidden="1" x14ac:dyDescent="0.25">
      <c r="A629" s="389">
        <v>3</v>
      </c>
      <c r="B629" s="390" t="s">
        <v>8</v>
      </c>
      <c r="C629" s="455" t="e">
        <f>VLOOKUP($F$28,таблица,12,0)</f>
        <v>#N/A</v>
      </c>
      <c r="D629" s="456"/>
      <c r="K629" s="365" t="str">
        <f t="shared" si="126"/>
        <v/>
      </c>
    </row>
    <row r="630" spans="1:11" hidden="1" x14ac:dyDescent="0.25">
      <c r="A630" s="389">
        <v>4</v>
      </c>
      <c r="B630" s="390" t="s">
        <v>59</v>
      </c>
      <c r="C630" s="455" t="e">
        <f>VLOOKUP($F$28,таблица,13,0)</f>
        <v>#N/A</v>
      </c>
      <c r="D630" s="456"/>
      <c r="K630" s="365" t="str">
        <f t="shared" si="126"/>
        <v/>
      </c>
    </row>
    <row r="631" spans="1:11" hidden="1" x14ac:dyDescent="0.25">
      <c r="A631" s="389">
        <v>5</v>
      </c>
      <c r="B631" s="390" t="s">
        <v>14</v>
      </c>
      <c r="C631" s="455" t="e">
        <f>VLOOKUP($F$28,таблица,14,0)</f>
        <v>#N/A</v>
      </c>
      <c r="D631" s="456"/>
      <c r="K631" s="365" t="str">
        <f t="shared" si="126"/>
        <v/>
      </c>
    </row>
    <row r="632" spans="1:11" hidden="1" x14ac:dyDescent="0.25">
      <c r="A632" s="389">
        <v>6</v>
      </c>
      <c r="B632" s="390" t="s">
        <v>23</v>
      </c>
      <c r="C632" s="455" t="e">
        <f>VLOOKUP($F$28,таблица,18,0)</f>
        <v>#N/A</v>
      </c>
      <c r="D632" s="456"/>
      <c r="K632" s="365" t="str">
        <f t="shared" si="126"/>
        <v/>
      </c>
    </row>
    <row r="633" spans="1:11" hidden="1" x14ac:dyDescent="0.25">
      <c r="A633" s="389">
        <v>7</v>
      </c>
      <c r="B633" s="390" t="s">
        <v>156</v>
      </c>
      <c r="C633" s="455" t="e">
        <f>VLOOKUP($F$28,таблица,19,0)+VLOOKUP($F$28,таблица,21,0)+VLOOKUP($F$28,таблица,22,0)+VLOOKUP($F$28,таблица,23,0)+VLOOKUP($F$28,таблица,24,0)+VLOOKUP($F$28,таблица,25,0)+VLOOKUP($F$28,таблица,26,0)</f>
        <v>#N/A</v>
      </c>
      <c r="D633" s="456"/>
      <c r="K633" s="365" t="str">
        <f t="shared" si="126"/>
        <v/>
      </c>
    </row>
    <row r="634" spans="1:11" hidden="1" x14ac:dyDescent="0.25">
      <c r="A634" s="389">
        <v>8</v>
      </c>
      <c r="B634" s="390" t="s">
        <v>101</v>
      </c>
      <c r="C634" s="455" t="e">
        <f>VLOOKUP($F$28,таблица,31,0)</f>
        <v>#N/A</v>
      </c>
      <c r="D634" s="456"/>
      <c r="K634" s="365" t="str">
        <f t="shared" si="126"/>
        <v/>
      </c>
    </row>
    <row r="635" spans="1:11" hidden="1" x14ac:dyDescent="0.25">
      <c r="A635" s="389">
        <v>9</v>
      </c>
      <c r="B635" s="390" t="s">
        <v>241</v>
      </c>
      <c r="C635" s="455" t="e">
        <f>SUM(C627:D634)</f>
        <v>#N/A</v>
      </c>
      <c r="D635" s="456"/>
      <c r="K635" s="365" t="str">
        <f t="shared" si="126"/>
        <v/>
      </c>
    </row>
    <row r="636" spans="1:11" hidden="1" x14ac:dyDescent="0.25">
      <c r="A636" s="464" t="s">
        <v>231</v>
      </c>
      <c r="B636" s="464"/>
      <c r="C636" s="464"/>
      <c r="D636" s="464"/>
      <c r="K636" s="365" t="str">
        <f t="shared" si="126"/>
        <v/>
      </c>
    </row>
    <row r="637" spans="1:11" ht="31.5" hidden="1" x14ac:dyDescent="0.25">
      <c r="A637" s="392" t="s">
        <v>111</v>
      </c>
      <c r="B637" s="385" t="s">
        <v>36</v>
      </c>
      <c r="C637" s="385" t="s">
        <v>221</v>
      </c>
      <c r="D637" s="385" t="s">
        <v>168</v>
      </c>
      <c r="K637" s="365" t="str">
        <f t="shared" si="126"/>
        <v/>
      </c>
    </row>
    <row r="638" spans="1:11" hidden="1" x14ac:dyDescent="0.25">
      <c r="A638" s="389">
        <v>10</v>
      </c>
      <c r="B638" s="389" t="e">
        <f>VLOOKUP((VLOOKUP($F$28,таблица,8,0)),рем_содер,2,0)</f>
        <v>#N/A</v>
      </c>
      <c r="C638" s="389"/>
      <c r="D638" s="390"/>
      <c r="K638" s="365" t="str">
        <f t="shared" si="126"/>
        <v/>
      </c>
    </row>
    <row r="639" spans="1:11" hidden="1" x14ac:dyDescent="0.25">
      <c r="A639" s="389" t="e">
        <f>IF(D639=0,0,A638+1)</f>
        <v>#N/A</v>
      </c>
      <c r="B639" s="390" t="e">
        <f>CONCATENATE("2015 г. (",CHOOSE(VLOOKUP(F$28,таблица,63,0),"Январь","Февраль","Март","Апрель","Май","Июнь","Июль","Август","Сентябрь","Октябрь","Ноябрь","Декабрь")," - ",CHOOSE(VLOOKUP(F$28,таблица,64,0),"Январь","Февраль","Март","Апрель","Май","Июнь","Июль","Август","Сентябрь","Октябрь","Ноябрь","Декабрь"),")")</f>
        <v>#N/A</v>
      </c>
      <c r="C639" s="389" t="s">
        <v>222</v>
      </c>
      <c r="D639" s="417" t="e">
        <f>IF(D641=0,0,VLOOKUP($F$28,таблица,69,0)*100+100)</f>
        <v>#N/A</v>
      </c>
      <c r="K639" s="365" t="e">
        <f>IF(D639=0,"",1)</f>
        <v>#N/A</v>
      </c>
    </row>
    <row r="640" spans="1:11" hidden="1" x14ac:dyDescent="0.25">
      <c r="A640" s="389" t="e">
        <f>IF(D640=0,0,IF(D639=0,A638+1,A639+1))</f>
        <v>#N/A</v>
      </c>
      <c r="B640" s="390" t="e">
        <f>CONCATENATE("2016 г. (",CHOOSE(VLOOKUP(F$28,таблица,65,0),"Январь","Февраль","Март","Апрель","Май","Июнь","Июль","Август","Сентябрь","Октябрь","Ноябрь","Декабрь")," - ",CHOOSE(VLOOKUP(F$28,таблица,66,0),"Январь","Февраль","Март","Апрель","Май","Июнь","Июль","Август","Сентябрь","Октябрь","Ноябрь","Декабрь"),")")</f>
        <v>#N/A</v>
      </c>
      <c r="C640" s="389" t="s">
        <v>222</v>
      </c>
      <c r="D640" s="417" t="e">
        <f>IF(D642=0,0,VLOOKUP($F$28,таблица,70,0)*100+100)</f>
        <v>#N/A</v>
      </c>
      <c r="K640" s="365" t="e">
        <f t="shared" ref="K640:K642" si="127">IF(D640=0,"",1)</f>
        <v>#N/A</v>
      </c>
    </row>
    <row r="641" spans="1:11" hidden="1" x14ac:dyDescent="0.25">
      <c r="A641" s="389" t="e">
        <f>IF(D641=0,0,IF(D640=0,A639+1,A640+1))</f>
        <v>#N/A</v>
      </c>
      <c r="B641" s="390" t="s">
        <v>223</v>
      </c>
      <c r="C641" s="389" t="s">
        <v>224</v>
      </c>
      <c r="D641" s="394" t="e">
        <f>VLOOKUP($F$28,таблица,46,0)</f>
        <v>#N/A</v>
      </c>
      <c r="K641" s="365" t="e">
        <f t="shared" si="127"/>
        <v>#N/A</v>
      </c>
    </row>
    <row r="642" spans="1:11" hidden="1" x14ac:dyDescent="0.25">
      <c r="A642" s="389" t="e">
        <f>IF(D642=0,0,IF(D641=0,A640+1,A641+1))</f>
        <v>#N/A</v>
      </c>
      <c r="B642" s="390" t="s">
        <v>351</v>
      </c>
      <c r="C642" s="389" t="s">
        <v>224</v>
      </c>
      <c r="D642" s="394" t="e">
        <f>VLOOKUP($F$28,таблица,56,0)</f>
        <v>#N/A</v>
      </c>
      <c r="K642" s="365" t="e">
        <f t="shared" si="127"/>
        <v>#N/A</v>
      </c>
    </row>
    <row r="643" spans="1:11" hidden="1" x14ac:dyDescent="0.25">
      <c r="A643" s="464" t="s">
        <v>225</v>
      </c>
      <c r="B643" s="464"/>
      <c r="C643" s="464"/>
      <c r="D643" s="464"/>
      <c r="K643" s="365" t="str">
        <f>IF($F$28=0,"",1)</f>
        <v/>
      </c>
    </row>
    <row r="644" spans="1:11" ht="31.5" hidden="1" x14ac:dyDescent="0.25">
      <c r="A644" s="389" t="e">
        <f>IF(D644=0,0,IF(D642=0,IF(D641=0,A638+1,A641+1),A642+1))</f>
        <v>#N/A</v>
      </c>
      <c r="B644" s="395" t="s">
        <v>275</v>
      </c>
      <c r="C644" s="389" t="s">
        <v>224</v>
      </c>
      <c r="D644" s="394" t="e">
        <f>SUM(VLOOKUP($F$28,таблица,41,0),D641)</f>
        <v>#N/A</v>
      </c>
      <c r="E644" s="365"/>
      <c r="K644" s="365" t="e">
        <f t="shared" ref="K644:K650" si="128">IF(D644=0,"",1)</f>
        <v>#N/A</v>
      </c>
    </row>
    <row r="645" spans="1:11" hidden="1" x14ac:dyDescent="0.25">
      <c r="A645" s="389" t="e">
        <f>IF(D645=0,0,A644+1)</f>
        <v>#N/A</v>
      </c>
      <c r="B645" s="395" t="s">
        <v>227</v>
      </c>
      <c r="C645" s="389" t="s">
        <v>224</v>
      </c>
      <c r="D645" s="394" t="e">
        <f>VLOOKUP($F$28,таблица,51,0)</f>
        <v>#N/A</v>
      </c>
      <c r="E645" s="365"/>
      <c r="K645" s="365" t="e">
        <f t="shared" si="128"/>
        <v>#N/A</v>
      </c>
    </row>
    <row r="646" spans="1:11" hidden="1" x14ac:dyDescent="0.25">
      <c r="A646" s="389" t="e">
        <f>IF(D646=0,0,A645+1)</f>
        <v>#N/A</v>
      </c>
      <c r="B646" s="395" t="s">
        <v>274</v>
      </c>
      <c r="C646" s="389" t="s">
        <v>224</v>
      </c>
      <c r="D646" s="397" t="e">
        <f>SUM(D644:D645)</f>
        <v>#N/A</v>
      </c>
      <c r="E646" s="391" t="e">
        <f>VLOOKUP($F$28,таблица,71,0)</f>
        <v>#N/A</v>
      </c>
      <c r="K646" s="365" t="e">
        <f t="shared" si="128"/>
        <v>#N/A</v>
      </c>
    </row>
    <row r="647" spans="1:11" ht="31.5" hidden="1" x14ac:dyDescent="0.25">
      <c r="A647" s="389" t="e">
        <f>IF(D647=0,0,IF(D646=0,IF(D642=0,A638+1,A642+1),A646+1))</f>
        <v>#N/A</v>
      </c>
      <c r="B647" s="395" t="s">
        <v>349</v>
      </c>
      <c r="C647" s="389" t="s">
        <v>224</v>
      </c>
      <c r="D647" s="394" t="e">
        <f>VLOOKUP($F$28,таблица,36,0)-VLOOKUP($F$28,таблица,41,0)+D642</f>
        <v>#N/A</v>
      </c>
      <c r="K647" s="365" t="e">
        <f t="shared" si="128"/>
        <v>#N/A</v>
      </c>
    </row>
    <row r="648" spans="1:11" hidden="1" x14ac:dyDescent="0.25">
      <c r="A648" s="389" t="e">
        <f>IF(D648=0,0,A647+1)</f>
        <v>#N/A</v>
      </c>
      <c r="B648" s="395" t="s">
        <v>227</v>
      </c>
      <c r="C648" s="389" t="s">
        <v>224</v>
      </c>
      <c r="D648" s="394" t="e">
        <f>VLOOKUP($F$28,таблица,61,0)</f>
        <v>#N/A</v>
      </c>
      <c r="K648" s="365" t="e">
        <f t="shared" si="128"/>
        <v>#N/A</v>
      </c>
    </row>
    <row r="649" spans="1:11" hidden="1" x14ac:dyDescent="0.25">
      <c r="A649" s="389" t="e">
        <f>IF(D649=0,0,A648+1)</f>
        <v>#N/A</v>
      </c>
      <c r="B649" s="395" t="s">
        <v>350</v>
      </c>
      <c r="C649" s="389" t="s">
        <v>224</v>
      </c>
      <c r="D649" s="397" t="e">
        <f>SUM(D647:D648)</f>
        <v>#N/A</v>
      </c>
      <c r="E649" s="391" t="e">
        <f>VLOOKUP($F$28,таблица,72,0)</f>
        <v>#N/A</v>
      </c>
      <c r="K649" s="365" t="e">
        <f t="shared" si="128"/>
        <v>#N/A</v>
      </c>
    </row>
    <row r="650" spans="1:11" hidden="1" x14ac:dyDescent="0.25">
      <c r="A650" s="389" t="e">
        <f>IF(D650=0,0,A649+1)</f>
        <v>#N/A</v>
      </c>
      <c r="B650" s="395" t="s">
        <v>226</v>
      </c>
      <c r="C650" s="389" t="s">
        <v>224</v>
      </c>
      <c r="D650" s="397" t="e">
        <f>IF(OR(D646=0,D649=0),0,D649+D646)</f>
        <v>#N/A</v>
      </c>
      <c r="E650" s="391" t="e">
        <f>VLOOKUP($F$28,таблица,62,0)</f>
        <v>#N/A</v>
      </c>
      <c r="K650" s="365" t="e">
        <f t="shared" si="128"/>
        <v>#N/A</v>
      </c>
    </row>
    <row r="651" spans="1:11" hidden="1" x14ac:dyDescent="0.25">
      <c r="A651" s="400"/>
      <c r="B651" s="400"/>
      <c r="C651" s="400"/>
      <c r="D651" s="401"/>
      <c r="K651" s="365" t="str">
        <f>IF($F$28=0,"",1)</f>
        <v/>
      </c>
    </row>
    <row r="652" spans="1:11" ht="47.25" hidden="1" customHeight="1" x14ac:dyDescent="0.25">
      <c r="A652" s="465" t="str">
        <f>'Анализ стоимости'!$I$58</f>
        <v>Начальник финансового отдела</v>
      </c>
      <c r="B652" s="466"/>
      <c r="C652" s="402"/>
      <c r="D652" s="403" t="str">
        <f>'Анализ стоимости'!$I$59</f>
        <v>А.Ю.Кашуба</v>
      </c>
      <c r="H652" s="405" t="str">
        <f>A652</f>
        <v>Начальник финансового отдела</v>
      </c>
      <c r="K652" s="365" t="str">
        <f>IF($F$28=0,"",1)</f>
        <v/>
      </c>
    </row>
    <row r="653" spans="1:11" hidden="1" x14ac:dyDescent="0.25">
      <c r="A653" s="407"/>
      <c r="B653" s="407"/>
      <c r="C653" s="407"/>
      <c r="D653" s="408"/>
      <c r="K653" s="365" t="str">
        <f>IF($F$28=0,"",1)</f>
        <v/>
      </c>
    </row>
    <row r="654" spans="1:11" hidden="1" x14ac:dyDescent="0.25">
      <c r="A654" s="462">
        <f ca="1">TODAY()</f>
        <v>42101</v>
      </c>
      <c r="B654" s="462"/>
      <c r="C654" s="371"/>
      <c r="D654" s="371"/>
      <c r="K654" s="365" t="str">
        <f>IF($F$28=0,"",1)</f>
        <v/>
      </c>
    </row>
    <row r="655" spans="1:11" hidden="1" x14ac:dyDescent="0.25">
      <c r="A655" s="463" t="s">
        <v>261</v>
      </c>
      <c r="B655" s="463"/>
      <c r="C655" s="463"/>
      <c r="D655" s="463"/>
      <c r="H655" s="369"/>
      <c r="I655" s="369"/>
      <c r="K655" s="365" t="str">
        <f t="shared" ref="K655:K672" si="129">IF($F$29=0,"",1)</f>
        <v/>
      </c>
    </row>
    <row r="656" spans="1:11" ht="47.25" hidden="1" customHeight="1" x14ac:dyDescent="0.2">
      <c r="A656" s="458" t="e">
        <f>CONCATENATE("Наименование объекта: ",VLOOKUP($F$29,таблица,9,0))</f>
        <v>#N/A</v>
      </c>
      <c r="B656" s="458"/>
      <c r="C656" s="458"/>
      <c r="D656" s="458"/>
      <c r="J656" s="414" t="e">
        <f>A656</f>
        <v>#N/A</v>
      </c>
      <c r="K656" s="365" t="str">
        <f t="shared" si="129"/>
        <v/>
      </c>
    </row>
    <row r="657" spans="1:11" hidden="1" x14ac:dyDescent="0.25">
      <c r="A657" s="383"/>
      <c r="B657" s="372"/>
      <c r="C657" s="372"/>
      <c r="D657" s="372"/>
      <c r="K657" s="365" t="str">
        <f t="shared" si="129"/>
        <v/>
      </c>
    </row>
    <row r="658" spans="1:11" hidden="1" x14ac:dyDescent="0.25">
      <c r="A658" s="415" t="s">
        <v>218</v>
      </c>
      <c r="B658" s="378"/>
      <c r="C658" s="378"/>
      <c r="D658" s="378"/>
      <c r="K658" s="365" t="str">
        <f t="shared" si="129"/>
        <v/>
      </c>
    </row>
    <row r="659" spans="1:11" hidden="1" x14ac:dyDescent="0.25">
      <c r="A659" s="459" t="s">
        <v>219</v>
      </c>
      <c r="B659" s="459"/>
      <c r="C659" s="459"/>
      <c r="D659" s="459"/>
      <c r="K659" s="365" t="str">
        <f t="shared" si="129"/>
        <v/>
      </c>
    </row>
    <row r="660" spans="1:11" ht="31.5" hidden="1" x14ac:dyDescent="0.25">
      <c r="A660" s="385" t="s">
        <v>111</v>
      </c>
      <c r="B660" s="385" t="s">
        <v>167</v>
      </c>
      <c r="C660" s="460" t="e">
        <f>CONCATENATE("Стоимость  согласно сметной документации (руб.) в текущих ценах по состоянию на ",VLOOKUP($F$29,таблица,5,0)," г.")</f>
        <v>#N/A</v>
      </c>
      <c r="D660" s="461"/>
      <c r="I660" s="386" t="e">
        <f>C660</f>
        <v>#N/A</v>
      </c>
      <c r="K660" s="365" t="str">
        <f t="shared" si="129"/>
        <v/>
      </c>
    </row>
    <row r="661" spans="1:11" hidden="1" x14ac:dyDescent="0.25">
      <c r="A661" s="389">
        <v>1</v>
      </c>
      <c r="B661" s="390" t="s">
        <v>68</v>
      </c>
      <c r="C661" s="455" t="e">
        <f>VLOOKUP($F$29,таблица,10,0)</f>
        <v>#N/A</v>
      </c>
      <c r="D661" s="456"/>
      <c r="K661" s="365" t="str">
        <f t="shared" si="129"/>
        <v/>
      </c>
    </row>
    <row r="662" spans="1:11" hidden="1" x14ac:dyDescent="0.25">
      <c r="A662" s="389">
        <v>2</v>
      </c>
      <c r="B662" s="390" t="s">
        <v>58</v>
      </c>
      <c r="C662" s="455" t="e">
        <f>VLOOKUP($F$29,таблица,11,0)</f>
        <v>#N/A</v>
      </c>
      <c r="D662" s="456"/>
      <c r="K662" s="365" t="str">
        <f t="shared" si="129"/>
        <v/>
      </c>
    </row>
    <row r="663" spans="1:11" ht="31.5" hidden="1" x14ac:dyDescent="0.25">
      <c r="A663" s="389">
        <v>3</v>
      </c>
      <c r="B663" s="390" t="s">
        <v>8</v>
      </c>
      <c r="C663" s="455" t="e">
        <f>VLOOKUP($F$29,таблица,12,0)</f>
        <v>#N/A</v>
      </c>
      <c r="D663" s="456"/>
      <c r="K663" s="365" t="str">
        <f t="shared" si="129"/>
        <v/>
      </c>
    </row>
    <row r="664" spans="1:11" hidden="1" x14ac:dyDescent="0.25">
      <c r="A664" s="389">
        <v>4</v>
      </c>
      <c r="B664" s="390" t="s">
        <v>59</v>
      </c>
      <c r="C664" s="455" t="e">
        <f>VLOOKUP($F$29,таблица,13,0)</f>
        <v>#N/A</v>
      </c>
      <c r="D664" s="456"/>
      <c r="K664" s="365" t="str">
        <f t="shared" si="129"/>
        <v/>
      </c>
    </row>
    <row r="665" spans="1:11" hidden="1" x14ac:dyDescent="0.25">
      <c r="A665" s="389">
        <v>5</v>
      </c>
      <c r="B665" s="390" t="s">
        <v>14</v>
      </c>
      <c r="C665" s="455" t="e">
        <f>VLOOKUP($F$29,таблица,14,0)</f>
        <v>#N/A</v>
      </c>
      <c r="D665" s="456"/>
      <c r="K665" s="365" t="str">
        <f t="shared" si="129"/>
        <v/>
      </c>
    </row>
    <row r="666" spans="1:11" hidden="1" x14ac:dyDescent="0.25">
      <c r="A666" s="389">
        <v>6</v>
      </c>
      <c r="B666" s="390" t="s">
        <v>23</v>
      </c>
      <c r="C666" s="455" t="e">
        <f>VLOOKUP($F$29,таблица,18,0)</f>
        <v>#N/A</v>
      </c>
      <c r="D666" s="456"/>
      <c r="K666" s="365" t="str">
        <f t="shared" si="129"/>
        <v/>
      </c>
    </row>
    <row r="667" spans="1:11" hidden="1" x14ac:dyDescent="0.25">
      <c r="A667" s="389">
        <v>7</v>
      </c>
      <c r="B667" s="390" t="s">
        <v>156</v>
      </c>
      <c r="C667" s="455" t="e">
        <f>VLOOKUP($F$29,таблица,19,0)+VLOOKUP($F$29,таблица,21,0)+VLOOKUP($F$29,таблица,22,0)+VLOOKUP($F$29,таблица,23,0)+VLOOKUP($F$29,таблица,24,0)+VLOOKUP($F$29,таблица,25,0)+VLOOKUP($F$29,таблица,26,0)</f>
        <v>#N/A</v>
      </c>
      <c r="D667" s="456"/>
      <c r="K667" s="365" t="str">
        <f t="shared" si="129"/>
        <v/>
      </c>
    </row>
    <row r="668" spans="1:11" hidden="1" x14ac:dyDescent="0.25">
      <c r="A668" s="389">
        <v>8</v>
      </c>
      <c r="B668" s="390" t="s">
        <v>101</v>
      </c>
      <c r="C668" s="455" t="e">
        <f>VLOOKUP($F$29,таблица,31,0)</f>
        <v>#N/A</v>
      </c>
      <c r="D668" s="456"/>
      <c r="K668" s="365" t="str">
        <f t="shared" si="129"/>
        <v/>
      </c>
    </row>
    <row r="669" spans="1:11" hidden="1" x14ac:dyDescent="0.25">
      <c r="A669" s="389">
        <v>9</v>
      </c>
      <c r="B669" s="390" t="s">
        <v>241</v>
      </c>
      <c r="C669" s="455" t="e">
        <f>SUM(C661:D668)</f>
        <v>#N/A</v>
      </c>
      <c r="D669" s="456"/>
      <c r="K669" s="365" t="str">
        <f t="shared" si="129"/>
        <v/>
      </c>
    </row>
    <row r="670" spans="1:11" hidden="1" x14ac:dyDescent="0.25">
      <c r="A670" s="464" t="s">
        <v>231</v>
      </c>
      <c r="B670" s="464"/>
      <c r="C670" s="464"/>
      <c r="D670" s="464"/>
      <c r="K670" s="365" t="str">
        <f t="shared" si="129"/>
        <v/>
      </c>
    </row>
    <row r="671" spans="1:11" ht="31.5" hidden="1" x14ac:dyDescent="0.25">
      <c r="A671" s="392" t="s">
        <v>111</v>
      </c>
      <c r="B671" s="385" t="s">
        <v>36</v>
      </c>
      <c r="C671" s="385" t="s">
        <v>221</v>
      </c>
      <c r="D671" s="385" t="s">
        <v>168</v>
      </c>
      <c r="K671" s="365" t="str">
        <f t="shared" si="129"/>
        <v/>
      </c>
    </row>
    <row r="672" spans="1:11" hidden="1" x14ac:dyDescent="0.25">
      <c r="A672" s="389">
        <v>10</v>
      </c>
      <c r="B672" s="389" t="e">
        <f>VLOOKUP((VLOOKUP($F$29,таблица,8,0)),рем_содер,2,0)</f>
        <v>#N/A</v>
      </c>
      <c r="C672" s="389"/>
      <c r="D672" s="390"/>
      <c r="K672" s="365" t="str">
        <f t="shared" si="129"/>
        <v/>
      </c>
    </row>
    <row r="673" spans="1:11" hidden="1" x14ac:dyDescent="0.25">
      <c r="A673" s="389" t="e">
        <f>IF(D673=0,0,A672+1)</f>
        <v>#N/A</v>
      </c>
      <c r="B673" s="390" t="e">
        <f>CONCATENATE("2015 г. (",CHOOSE(VLOOKUP(F$29,таблица,63,0),"Январь","Февраль","Март","Апрель","Май","Июнь","Июль","Август","Сентябрь","Октябрь","Ноябрь","Декабрь")," - ",CHOOSE(VLOOKUP(F$29,таблица,64,0),"Январь","Февраль","Март","Апрель","Май","Июнь","Июль","Август","Сентябрь","Октябрь","Ноябрь","Декабрь"),")")</f>
        <v>#N/A</v>
      </c>
      <c r="C673" s="389" t="s">
        <v>222</v>
      </c>
      <c r="D673" s="417" t="e">
        <f>IF(D675=0,0,VLOOKUP($F$29,таблица,69,0)*100+100)</f>
        <v>#N/A</v>
      </c>
      <c r="K673" s="365" t="e">
        <f>IF(D673=0,"",1)</f>
        <v>#N/A</v>
      </c>
    </row>
    <row r="674" spans="1:11" hidden="1" x14ac:dyDescent="0.25">
      <c r="A674" s="389" t="e">
        <f>IF(D674=0,0,IF(D673=0,A672+1,A673+1))</f>
        <v>#N/A</v>
      </c>
      <c r="B674" s="390" t="e">
        <f>CONCATENATE("2016 г. (",CHOOSE(VLOOKUP(F$29,таблица,65,0),"Январь","Февраль","Март","Апрель","Май","Июнь","Июль","Август","Сентябрь","Октябрь","Ноябрь","Декабрь")," - ",CHOOSE(VLOOKUP(F$29,таблица,66,0),"Январь","Февраль","Март","Апрель","Май","Июнь","Июль","Август","Сентябрь","Октябрь","Ноябрь","Декабрь"),")")</f>
        <v>#N/A</v>
      </c>
      <c r="C674" s="389" t="s">
        <v>222</v>
      </c>
      <c r="D674" s="417" t="e">
        <f>IF(D676=0,0,VLOOKUP($F$29,таблица,70,0)*100+100)</f>
        <v>#N/A</v>
      </c>
      <c r="K674" s="365" t="e">
        <f t="shared" ref="K674:K676" si="130">IF(D674=0,"",1)</f>
        <v>#N/A</v>
      </c>
    </row>
    <row r="675" spans="1:11" hidden="1" x14ac:dyDescent="0.25">
      <c r="A675" s="389" t="e">
        <f>IF(D675=0,0,IF(D674=0,A673+1,A674+1))</f>
        <v>#N/A</v>
      </c>
      <c r="B675" s="390" t="s">
        <v>223</v>
      </c>
      <c r="C675" s="389" t="s">
        <v>224</v>
      </c>
      <c r="D675" s="394" t="e">
        <f>VLOOKUP($F$29,таблица,46,0)</f>
        <v>#N/A</v>
      </c>
      <c r="K675" s="365" t="e">
        <f t="shared" si="130"/>
        <v>#N/A</v>
      </c>
    </row>
    <row r="676" spans="1:11" hidden="1" x14ac:dyDescent="0.25">
      <c r="A676" s="389" t="e">
        <f>IF(D676=0,0,IF(D675=0,A674+1,A675+1))</f>
        <v>#N/A</v>
      </c>
      <c r="B676" s="390" t="s">
        <v>351</v>
      </c>
      <c r="C676" s="389" t="s">
        <v>224</v>
      </c>
      <c r="D676" s="394" t="e">
        <f>VLOOKUP($F$29,таблица,56,0)</f>
        <v>#N/A</v>
      </c>
      <c r="K676" s="365" t="e">
        <f t="shared" si="130"/>
        <v>#N/A</v>
      </c>
    </row>
    <row r="677" spans="1:11" hidden="1" x14ac:dyDescent="0.25">
      <c r="A677" s="464" t="s">
        <v>225</v>
      </c>
      <c r="B677" s="464"/>
      <c r="C677" s="464"/>
      <c r="D677" s="464"/>
      <c r="K677" s="365" t="str">
        <f>IF($F$29=0,"",1)</f>
        <v/>
      </c>
    </row>
    <row r="678" spans="1:11" ht="31.5" hidden="1" x14ac:dyDescent="0.25">
      <c r="A678" s="389" t="e">
        <f>IF(D678=0,0,IF(D676=0,IF(D675=0,A672+1,A675+1),A676+1))</f>
        <v>#N/A</v>
      </c>
      <c r="B678" s="395" t="s">
        <v>275</v>
      </c>
      <c r="C678" s="389" t="s">
        <v>224</v>
      </c>
      <c r="D678" s="394" t="e">
        <f>SUM(VLOOKUP($F$29,таблица,41,0),D675)</f>
        <v>#N/A</v>
      </c>
      <c r="E678" s="365"/>
      <c r="K678" s="365" t="e">
        <f t="shared" ref="K678:K684" si="131">IF(D678=0,"",1)</f>
        <v>#N/A</v>
      </c>
    </row>
    <row r="679" spans="1:11" hidden="1" x14ac:dyDescent="0.25">
      <c r="A679" s="389" t="e">
        <f>IF(D679=0,0,A678+1)</f>
        <v>#N/A</v>
      </c>
      <c r="B679" s="395" t="s">
        <v>227</v>
      </c>
      <c r="C679" s="389" t="s">
        <v>224</v>
      </c>
      <c r="D679" s="394" t="e">
        <f>VLOOKUP($F$29,таблица,51,0)</f>
        <v>#N/A</v>
      </c>
      <c r="E679" s="365"/>
      <c r="K679" s="365" t="e">
        <f t="shared" si="131"/>
        <v>#N/A</v>
      </c>
    </row>
    <row r="680" spans="1:11" hidden="1" x14ac:dyDescent="0.25">
      <c r="A680" s="389" t="e">
        <f>IF(D680=0,0,A679+1)</f>
        <v>#N/A</v>
      </c>
      <c r="B680" s="395" t="s">
        <v>274</v>
      </c>
      <c r="C680" s="389" t="s">
        <v>224</v>
      </c>
      <c r="D680" s="397" t="e">
        <f>SUM(D678:D679)</f>
        <v>#N/A</v>
      </c>
      <c r="E680" s="391" t="e">
        <f>VLOOKUP($F$29,таблица,71,0)</f>
        <v>#N/A</v>
      </c>
      <c r="K680" s="365" t="e">
        <f t="shared" si="131"/>
        <v>#N/A</v>
      </c>
    </row>
    <row r="681" spans="1:11" ht="31.5" hidden="1" x14ac:dyDescent="0.25">
      <c r="A681" s="389" t="e">
        <f>IF(D681=0,0,IF(D680=0,IF(D676=0,A672+1,A676+1),A680+1))</f>
        <v>#N/A</v>
      </c>
      <c r="B681" s="395" t="s">
        <v>349</v>
      </c>
      <c r="C681" s="389" t="s">
        <v>224</v>
      </c>
      <c r="D681" s="394" t="e">
        <f>VLOOKUP($F$29,таблица,36,0)-VLOOKUP($F$29,таблица,41,0)+D676</f>
        <v>#N/A</v>
      </c>
      <c r="K681" s="365" t="e">
        <f t="shared" si="131"/>
        <v>#N/A</v>
      </c>
    </row>
    <row r="682" spans="1:11" hidden="1" x14ac:dyDescent="0.25">
      <c r="A682" s="389" t="e">
        <f>IF(D682=0,0,A681+1)</f>
        <v>#N/A</v>
      </c>
      <c r="B682" s="395" t="s">
        <v>227</v>
      </c>
      <c r="C682" s="389" t="s">
        <v>224</v>
      </c>
      <c r="D682" s="394" t="e">
        <f>VLOOKUP($F$29,таблица,61,0)</f>
        <v>#N/A</v>
      </c>
      <c r="K682" s="365" t="e">
        <f t="shared" si="131"/>
        <v>#N/A</v>
      </c>
    </row>
    <row r="683" spans="1:11" hidden="1" x14ac:dyDescent="0.25">
      <c r="A683" s="389" t="e">
        <f>IF(D683=0,0,A682+1)</f>
        <v>#N/A</v>
      </c>
      <c r="B683" s="395" t="s">
        <v>350</v>
      </c>
      <c r="C683" s="389" t="s">
        <v>224</v>
      </c>
      <c r="D683" s="397" t="e">
        <f>SUM(D681:D682)</f>
        <v>#N/A</v>
      </c>
      <c r="E683" s="391" t="e">
        <f>VLOOKUP($F$29,таблица,72,0)</f>
        <v>#N/A</v>
      </c>
      <c r="K683" s="365" t="e">
        <f t="shared" si="131"/>
        <v>#N/A</v>
      </c>
    </row>
    <row r="684" spans="1:11" hidden="1" x14ac:dyDescent="0.25">
      <c r="A684" s="389" t="e">
        <f>IF(D684=0,0,A683+1)</f>
        <v>#N/A</v>
      </c>
      <c r="B684" s="395" t="s">
        <v>226</v>
      </c>
      <c r="C684" s="389" t="s">
        <v>224</v>
      </c>
      <c r="D684" s="397" t="e">
        <f>IF(OR(D680=0,D683=0),0,D683+D680)</f>
        <v>#N/A</v>
      </c>
      <c r="E684" s="391" t="e">
        <f>VLOOKUP($F$29,таблица,62,0)</f>
        <v>#N/A</v>
      </c>
      <c r="K684" s="365" t="e">
        <f t="shared" si="131"/>
        <v>#N/A</v>
      </c>
    </row>
    <row r="685" spans="1:11" hidden="1" x14ac:dyDescent="0.25">
      <c r="A685" s="400"/>
      <c r="B685" s="400"/>
      <c r="C685" s="400"/>
      <c r="D685" s="401"/>
      <c r="K685" s="365" t="str">
        <f>IF($F$29=0,"",1)</f>
        <v/>
      </c>
    </row>
    <row r="686" spans="1:11" ht="47.25" hidden="1" customHeight="1" x14ac:dyDescent="0.25">
      <c r="A686" s="465" t="str">
        <f>'Анализ стоимости'!$I$58</f>
        <v>Начальник финансового отдела</v>
      </c>
      <c r="B686" s="466"/>
      <c r="C686" s="402"/>
      <c r="D686" s="403" t="str">
        <f>'Анализ стоимости'!$I$59</f>
        <v>А.Ю.Кашуба</v>
      </c>
      <c r="H686" s="405" t="str">
        <f>A686</f>
        <v>Начальник финансового отдела</v>
      </c>
      <c r="K686" s="365" t="str">
        <f>IF($F$29=0,"",1)</f>
        <v/>
      </c>
    </row>
    <row r="687" spans="1:11" hidden="1" x14ac:dyDescent="0.25">
      <c r="A687" s="407"/>
      <c r="B687" s="407"/>
      <c r="C687" s="407"/>
      <c r="D687" s="408"/>
      <c r="K687" s="365" t="str">
        <f>IF($F$29=0,"",1)</f>
        <v/>
      </c>
    </row>
    <row r="688" spans="1:11" hidden="1" x14ac:dyDescent="0.25">
      <c r="A688" s="462">
        <f ca="1">TODAY()</f>
        <v>42101</v>
      </c>
      <c r="B688" s="462"/>
      <c r="C688" s="371"/>
      <c r="D688" s="371"/>
      <c r="K688" s="365" t="str">
        <f>IF($F$29=0,"",1)</f>
        <v/>
      </c>
    </row>
    <row r="689" spans="1:11" hidden="1" x14ac:dyDescent="0.25">
      <c r="A689" s="463" t="s">
        <v>262</v>
      </c>
      <c r="B689" s="463"/>
      <c r="C689" s="463"/>
      <c r="D689" s="463"/>
      <c r="H689" s="369"/>
      <c r="I689" s="369"/>
      <c r="K689" s="365" t="str">
        <f t="shared" ref="K689:K705" si="132">IF($F$30=0,"",1)</f>
        <v/>
      </c>
    </row>
    <row r="690" spans="1:11" ht="47.25" hidden="1" customHeight="1" x14ac:dyDescent="0.2">
      <c r="A690" s="458" t="e">
        <f>CONCATENATE("Наименование объекта: ",VLOOKUP($F$30,таблица,9,0))</f>
        <v>#N/A</v>
      </c>
      <c r="B690" s="458"/>
      <c r="C690" s="458"/>
      <c r="D690" s="458"/>
      <c r="J690" s="414" t="e">
        <f>A690</f>
        <v>#N/A</v>
      </c>
      <c r="K690" s="365" t="str">
        <f t="shared" si="132"/>
        <v/>
      </c>
    </row>
    <row r="691" spans="1:11" hidden="1" x14ac:dyDescent="0.25">
      <c r="A691" s="383"/>
      <c r="B691" s="372"/>
      <c r="C691" s="372"/>
      <c r="D691" s="372"/>
      <c r="K691" s="365" t="str">
        <f t="shared" si="132"/>
        <v/>
      </c>
    </row>
    <row r="692" spans="1:11" hidden="1" x14ac:dyDescent="0.25">
      <c r="A692" s="415" t="s">
        <v>218</v>
      </c>
      <c r="B692" s="378"/>
      <c r="C692" s="378"/>
      <c r="D692" s="378"/>
      <c r="K692" s="365" t="str">
        <f t="shared" si="132"/>
        <v/>
      </c>
    </row>
    <row r="693" spans="1:11" hidden="1" x14ac:dyDescent="0.25">
      <c r="A693" s="459" t="s">
        <v>219</v>
      </c>
      <c r="B693" s="459"/>
      <c r="C693" s="459"/>
      <c r="D693" s="459"/>
      <c r="K693" s="365" t="str">
        <f t="shared" si="132"/>
        <v/>
      </c>
    </row>
    <row r="694" spans="1:11" ht="31.5" hidden="1" x14ac:dyDescent="0.25">
      <c r="A694" s="385" t="s">
        <v>111</v>
      </c>
      <c r="B694" s="385" t="s">
        <v>167</v>
      </c>
      <c r="C694" s="460" t="e">
        <f>CONCATENATE("Стоимость  согласно сметной документации (руб.) в текущих ценах по состоянию на ",VLOOKUP($F$30,таблица,5,0)," г.")</f>
        <v>#N/A</v>
      </c>
      <c r="D694" s="461"/>
      <c r="I694" s="386" t="e">
        <f>C694</f>
        <v>#N/A</v>
      </c>
      <c r="K694" s="365" t="str">
        <f t="shared" si="132"/>
        <v/>
      </c>
    </row>
    <row r="695" spans="1:11" hidden="1" x14ac:dyDescent="0.25">
      <c r="A695" s="389">
        <v>1</v>
      </c>
      <c r="B695" s="390" t="s">
        <v>68</v>
      </c>
      <c r="C695" s="455" t="e">
        <f>VLOOKUP($F$30,таблица,10,0)</f>
        <v>#N/A</v>
      </c>
      <c r="D695" s="456"/>
      <c r="K695" s="365" t="str">
        <f t="shared" si="132"/>
        <v/>
      </c>
    </row>
    <row r="696" spans="1:11" hidden="1" x14ac:dyDescent="0.25">
      <c r="A696" s="389">
        <v>2</v>
      </c>
      <c r="B696" s="390" t="s">
        <v>58</v>
      </c>
      <c r="C696" s="455" t="e">
        <f>VLOOKUP($F$30,таблица,11,0)</f>
        <v>#N/A</v>
      </c>
      <c r="D696" s="456"/>
      <c r="K696" s="365" t="str">
        <f t="shared" si="132"/>
        <v/>
      </c>
    </row>
    <row r="697" spans="1:11" ht="31.5" hidden="1" x14ac:dyDescent="0.25">
      <c r="A697" s="389">
        <v>3</v>
      </c>
      <c r="B697" s="390" t="s">
        <v>8</v>
      </c>
      <c r="C697" s="455" t="e">
        <f>VLOOKUP($F$30,таблица,12,0)</f>
        <v>#N/A</v>
      </c>
      <c r="D697" s="456"/>
      <c r="K697" s="365" t="str">
        <f t="shared" si="132"/>
        <v/>
      </c>
    </row>
    <row r="698" spans="1:11" hidden="1" x14ac:dyDescent="0.25">
      <c r="A698" s="389">
        <v>4</v>
      </c>
      <c r="B698" s="390" t="s">
        <v>59</v>
      </c>
      <c r="C698" s="455" t="e">
        <f>VLOOKUP($F$30,таблица,13,0)</f>
        <v>#N/A</v>
      </c>
      <c r="D698" s="456"/>
      <c r="K698" s="365" t="str">
        <f t="shared" si="132"/>
        <v/>
      </c>
    </row>
    <row r="699" spans="1:11" hidden="1" x14ac:dyDescent="0.25">
      <c r="A699" s="389">
        <v>5</v>
      </c>
      <c r="B699" s="390" t="s">
        <v>14</v>
      </c>
      <c r="C699" s="455" t="e">
        <f>VLOOKUP($F$30,таблица,14,0)</f>
        <v>#N/A</v>
      </c>
      <c r="D699" s="456"/>
      <c r="K699" s="365" t="str">
        <f t="shared" si="132"/>
        <v/>
      </c>
    </row>
    <row r="700" spans="1:11" hidden="1" x14ac:dyDescent="0.25">
      <c r="A700" s="389">
        <v>6</v>
      </c>
      <c r="B700" s="390" t="s">
        <v>23</v>
      </c>
      <c r="C700" s="455" t="e">
        <f>VLOOKUP($F$30,таблица,18,0)</f>
        <v>#N/A</v>
      </c>
      <c r="D700" s="456"/>
      <c r="K700" s="365" t="str">
        <f t="shared" si="132"/>
        <v/>
      </c>
    </row>
    <row r="701" spans="1:11" hidden="1" x14ac:dyDescent="0.25">
      <c r="A701" s="389">
        <v>7</v>
      </c>
      <c r="B701" s="390" t="s">
        <v>156</v>
      </c>
      <c r="C701" s="455" t="e">
        <f>VLOOKUP($F$30,таблица,19,0)+VLOOKUP($F$30,таблица,21,0)+VLOOKUP($F$30,таблица,22,0)+VLOOKUP($F$30,таблица,23,0)+VLOOKUP($F$30,таблица,24,0)+VLOOKUP($F$30,таблица,25,0)+VLOOKUP($F$30,таблица,26,0)</f>
        <v>#N/A</v>
      </c>
      <c r="D701" s="456"/>
      <c r="K701" s="365" t="str">
        <f t="shared" si="132"/>
        <v/>
      </c>
    </row>
    <row r="702" spans="1:11" hidden="1" x14ac:dyDescent="0.25">
      <c r="A702" s="389">
        <v>8</v>
      </c>
      <c r="B702" s="390" t="s">
        <v>101</v>
      </c>
      <c r="C702" s="455" t="e">
        <f>VLOOKUP($F$30,таблица,31,0)</f>
        <v>#N/A</v>
      </c>
      <c r="D702" s="456"/>
      <c r="K702" s="365" t="str">
        <f t="shared" si="132"/>
        <v/>
      </c>
    </row>
    <row r="703" spans="1:11" hidden="1" x14ac:dyDescent="0.25">
      <c r="A703" s="389">
        <v>9</v>
      </c>
      <c r="B703" s="390" t="s">
        <v>241</v>
      </c>
      <c r="C703" s="455" t="e">
        <f>SUM(C695:D702)</f>
        <v>#N/A</v>
      </c>
      <c r="D703" s="456"/>
      <c r="K703" s="365" t="str">
        <f t="shared" si="132"/>
        <v/>
      </c>
    </row>
    <row r="704" spans="1:11" hidden="1" x14ac:dyDescent="0.25">
      <c r="A704" s="464" t="s">
        <v>231</v>
      </c>
      <c r="B704" s="464"/>
      <c r="C704" s="464"/>
      <c r="D704" s="464"/>
      <c r="K704" s="365" t="str">
        <f t="shared" si="132"/>
        <v/>
      </c>
    </row>
    <row r="705" spans="1:11" ht="31.5" hidden="1" x14ac:dyDescent="0.25">
      <c r="A705" s="392" t="s">
        <v>111</v>
      </c>
      <c r="B705" s="385" t="s">
        <v>36</v>
      </c>
      <c r="C705" s="385" t="s">
        <v>221</v>
      </c>
      <c r="D705" s="385" t="s">
        <v>168</v>
      </c>
      <c r="K705" s="365" t="str">
        <f t="shared" si="132"/>
        <v/>
      </c>
    </row>
    <row r="706" spans="1:11" hidden="1" x14ac:dyDescent="0.25">
      <c r="A706" s="389">
        <v>10</v>
      </c>
      <c r="B706" s="389" t="e">
        <f>VLOOKUP((VLOOKUP($F$30,таблица,8,0)),рем_содер,2,0)</f>
        <v>#N/A</v>
      </c>
      <c r="C706" s="389"/>
      <c r="D706" s="390"/>
      <c r="K706" s="365" t="str">
        <f>IF($F$30=0,"",1)</f>
        <v/>
      </c>
    </row>
    <row r="707" spans="1:11" hidden="1" x14ac:dyDescent="0.25">
      <c r="A707" s="389" t="e">
        <f>IF(D707=0,0,A706+1)</f>
        <v>#N/A</v>
      </c>
      <c r="B707" s="390" t="e">
        <f>CONCATENATE("2015 г. (",CHOOSE(VLOOKUP(F$30,таблица,63,0),"Январь","Февраль","Март","Апрель","Май","Июнь","Июль","Август","Сентябрь","Октябрь","Ноябрь","Декабрь")," - ",CHOOSE(VLOOKUP(F$30,таблица,64,0),"Январь","Февраль","Март","Апрель","Май","Июнь","Июль","Август","Сентябрь","Октябрь","Ноябрь","Декабрь"),")")</f>
        <v>#N/A</v>
      </c>
      <c r="C707" s="389" t="s">
        <v>222</v>
      </c>
      <c r="D707" s="417" t="e">
        <f>IF(D709=0,0,VLOOKUP($F$30,таблица,69,0)*100+100)</f>
        <v>#N/A</v>
      </c>
      <c r="K707" s="365" t="e">
        <f>IF(D707=0,"",1)</f>
        <v>#N/A</v>
      </c>
    </row>
    <row r="708" spans="1:11" hidden="1" x14ac:dyDescent="0.25">
      <c r="A708" s="389" t="e">
        <f>IF(D708=0,0,IF(D707=0,A706+1,A707+1))</f>
        <v>#N/A</v>
      </c>
      <c r="B708" s="390" t="e">
        <f>CONCATENATE("2016 г. (",CHOOSE(VLOOKUP(F$30,таблица,65,0),"Январь","Февраль","Март","Апрель","Май","Июнь","Июль","Август","Сентябрь","Октябрь","Ноябрь","Декабрь")," - ",CHOOSE(VLOOKUP(F$30,таблица,66,0),"Январь","Февраль","Март","Апрель","Май","Июнь","Июль","Август","Сентябрь","Октябрь","Ноябрь","Декабрь"),")")</f>
        <v>#N/A</v>
      </c>
      <c r="C708" s="389" t="s">
        <v>222</v>
      </c>
      <c r="D708" s="417" t="e">
        <f>IF(D710=0,0,VLOOKUP($F$30,таблица,70,0)*100+100)</f>
        <v>#N/A</v>
      </c>
      <c r="K708" s="365" t="e">
        <f t="shared" ref="K708:K709" si="133">IF(D708=0,"",1)</f>
        <v>#N/A</v>
      </c>
    </row>
    <row r="709" spans="1:11" hidden="1" x14ac:dyDescent="0.25">
      <c r="A709" s="389" t="e">
        <f>IF(D709=0,0,IF(D708=0,A707+1,A708+1))</f>
        <v>#N/A</v>
      </c>
      <c r="B709" s="390" t="s">
        <v>223</v>
      </c>
      <c r="C709" s="389" t="s">
        <v>224</v>
      </c>
      <c r="D709" s="394" t="e">
        <f>VLOOKUP($F$30,таблица,46,0)</f>
        <v>#N/A</v>
      </c>
      <c r="K709" s="365" t="e">
        <f t="shared" si="133"/>
        <v>#N/A</v>
      </c>
    </row>
    <row r="710" spans="1:11" hidden="1" x14ac:dyDescent="0.25">
      <c r="A710" s="389" t="e">
        <f>IF(D710=0,0,IF(D709=0,A708+1,A709+1))</f>
        <v>#N/A</v>
      </c>
      <c r="B710" s="390" t="s">
        <v>351</v>
      </c>
      <c r="C710" s="389" t="s">
        <v>224</v>
      </c>
      <c r="D710" s="394" t="e">
        <f>VLOOKUP($F$30,таблица,56,0)</f>
        <v>#N/A</v>
      </c>
      <c r="K710" s="365" t="e">
        <f>IF(D710=0,"",1)</f>
        <v>#N/A</v>
      </c>
    </row>
    <row r="711" spans="1:11" hidden="1" x14ac:dyDescent="0.25">
      <c r="A711" s="464" t="s">
        <v>225</v>
      </c>
      <c r="B711" s="464"/>
      <c r="C711" s="464"/>
      <c r="D711" s="464"/>
      <c r="K711" s="365" t="str">
        <f>IF($F$30=0,"",1)</f>
        <v/>
      </c>
    </row>
    <row r="712" spans="1:11" ht="31.5" hidden="1" x14ac:dyDescent="0.25">
      <c r="A712" s="389" t="e">
        <f>IF(D712=0,0,IF(D710=0,IF(D709=0,A706+1,A709+1),A710+1))</f>
        <v>#N/A</v>
      </c>
      <c r="B712" s="395" t="s">
        <v>275</v>
      </c>
      <c r="C712" s="389" t="s">
        <v>224</v>
      </c>
      <c r="D712" s="394" t="e">
        <f>SUM(VLOOKUP($F$30,таблица,41,0),D709)</f>
        <v>#N/A</v>
      </c>
      <c r="E712" s="365"/>
      <c r="K712" s="365" t="e">
        <f t="shared" ref="K712:K718" si="134">IF(D712=0,"",1)</f>
        <v>#N/A</v>
      </c>
    </row>
    <row r="713" spans="1:11" hidden="1" x14ac:dyDescent="0.25">
      <c r="A713" s="389" t="e">
        <f>IF(D713=0,0,A712+1)</f>
        <v>#N/A</v>
      </c>
      <c r="B713" s="395" t="s">
        <v>227</v>
      </c>
      <c r="C713" s="389" t="s">
        <v>224</v>
      </c>
      <c r="D713" s="394" t="e">
        <f>VLOOKUP($F$30,таблица,51,0)</f>
        <v>#N/A</v>
      </c>
      <c r="E713" s="365"/>
      <c r="K713" s="365" t="e">
        <f t="shared" si="134"/>
        <v>#N/A</v>
      </c>
    </row>
    <row r="714" spans="1:11" hidden="1" x14ac:dyDescent="0.25">
      <c r="A714" s="389" t="e">
        <f>IF(D714=0,0,A713+1)</f>
        <v>#N/A</v>
      </c>
      <c r="B714" s="395" t="s">
        <v>274</v>
      </c>
      <c r="C714" s="389" t="s">
        <v>224</v>
      </c>
      <c r="D714" s="397" t="e">
        <f>SUM(D712:D713)</f>
        <v>#N/A</v>
      </c>
      <c r="E714" s="391" t="e">
        <f>VLOOKUP($F$30,таблица,71,0)</f>
        <v>#N/A</v>
      </c>
      <c r="K714" s="365" t="e">
        <f t="shared" si="134"/>
        <v>#N/A</v>
      </c>
    </row>
    <row r="715" spans="1:11" ht="31.5" hidden="1" x14ac:dyDescent="0.25">
      <c r="A715" s="389" t="e">
        <f>IF(D715=0,0,IF(D714=0,IF(D710=0,A706+1,A710+1),A714+1))</f>
        <v>#N/A</v>
      </c>
      <c r="B715" s="395" t="s">
        <v>349</v>
      </c>
      <c r="C715" s="389" t="s">
        <v>224</v>
      </c>
      <c r="D715" s="394" t="e">
        <f>VLOOKUP($F$30,таблица,36,0)-VLOOKUP($F$30,таблица,41,0)+D710</f>
        <v>#N/A</v>
      </c>
      <c r="K715" s="365" t="e">
        <f t="shared" si="134"/>
        <v>#N/A</v>
      </c>
    </row>
    <row r="716" spans="1:11" hidden="1" x14ac:dyDescent="0.25">
      <c r="A716" s="389" t="e">
        <f>IF(D716=0,0,A715+1)</f>
        <v>#N/A</v>
      </c>
      <c r="B716" s="395" t="s">
        <v>227</v>
      </c>
      <c r="C716" s="389" t="s">
        <v>224</v>
      </c>
      <c r="D716" s="394" t="e">
        <f>VLOOKUP($F$30,таблица,61,0)</f>
        <v>#N/A</v>
      </c>
      <c r="K716" s="365" t="e">
        <f t="shared" si="134"/>
        <v>#N/A</v>
      </c>
    </row>
    <row r="717" spans="1:11" hidden="1" x14ac:dyDescent="0.25">
      <c r="A717" s="389" t="e">
        <f>IF(D717=0,0,A716+1)</f>
        <v>#N/A</v>
      </c>
      <c r="B717" s="395" t="s">
        <v>350</v>
      </c>
      <c r="C717" s="389" t="s">
        <v>224</v>
      </c>
      <c r="D717" s="397" t="e">
        <f>SUM(D715:D716)</f>
        <v>#N/A</v>
      </c>
      <c r="E717" s="391" t="e">
        <f>VLOOKUP($F$30,таблица,72,0)</f>
        <v>#N/A</v>
      </c>
      <c r="K717" s="365" t="e">
        <f t="shared" si="134"/>
        <v>#N/A</v>
      </c>
    </row>
    <row r="718" spans="1:11" hidden="1" x14ac:dyDescent="0.25">
      <c r="A718" s="389" t="e">
        <f>IF(D718=0,0,A717+1)</f>
        <v>#N/A</v>
      </c>
      <c r="B718" s="395" t="s">
        <v>226</v>
      </c>
      <c r="C718" s="389" t="s">
        <v>224</v>
      </c>
      <c r="D718" s="397" t="e">
        <f>IF(OR(D714=0,D717=0),0,D717+D714)</f>
        <v>#N/A</v>
      </c>
      <c r="E718" s="391" t="e">
        <f>VLOOKUP($F$30,таблица,62,0)</f>
        <v>#N/A</v>
      </c>
      <c r="K718" s="365" t="e">
        <f t="shared" si="134"/>
        <v>#N/A</v>
      </c>
    </row>
    <row r="719" spans="1:11" hidden="1" x14ac:dyDescent="0.25">
      <c r="A719" s="400"/>
      <c r="B719" s="400"/>
      <c r="C719" s="400"/>
      <c r="D719" s="401"/>
      <c r="K719" s="365" t="str">
        <f>IF($F$30=0,"",1)</f>
        <v/>
      </c>
    </row>
    <row r="720" spans="1:11" ht="47.25" hidden="1" customHeight="1" x14ac:dyDescent="0.25">
      <c r="A720" s="465" t="str">
        <f>'Анализ стоимости'!$I$58</f>
        <v>Начальник финансового отдела</v>
      </c>
      <c r="B720" s="466"/>
      <c r="C720" s="402"/>
      <c r="D720" s="403" t="str">
        <f>'Анализ стоимости'!$I$59</f>
        <v>А.Ю.Кашуба</v>
      </c>
      <c r="H720" s="405" t="str">
        <f>A720</f>
        <v>Начальник финансового отдела</v>
      </c>
      <c r="K720" s="365" t="str">
        <f>IF($F$30=0,"",1)</f>
        <v/>
      </c>
    </row>
    <row r="721" spans="1:11" hidden="1" x14ac:dyDescent="0.25">
      <c r="A721" s="407"/>
      <c r="B721" s="407"/>
      <c r="C721" s="407"/>
      <c r="D721" s="408"/>
      <c r="K721" s="365" t="str">
        <f>IF($F$30=0,"",1)</f>
        <v/>
      </c>
    </row>
    <row r="722" spans="1:11" hidden="1" x14ac:dyDescent="0.25">
      <c r="A722" s="462">
        <f ca="1">TODAY()</f>
        <v>42101</v>
      </c>
      <c r="B722" s="462"/>
      <c r="C722" s="371"/>
      <c r="D722" s="371"/>
      <c r="K722" s="365" t="str">
        <f>IF($F$30=0,"",1)</f>
        <v/>
      </c>
    </row>
    <row r="723" spans="1:11" hidden="1" x14ac:dyDescent="0.25">
      <c r="A723" s="463" t="s">
        <v>263</v>
      </c>
      <c r="B723" s="463"/>
      <c r="C723" s="463"/>
      <c r="D723" s="463"/>
      <c r="H723" s="369"/>
      <c r="I723" s="369"/>
      <c r="K723" s="365" t="str">
        <f t="shared" ref="K723:K740" si="135">IF($F$31=0,"",1)</f>
        <v/>
      </c>
    </row>
    <row r="724" spans="1:11" ht="47.25" hidden="1" customHeight="1" x14ac:dyDescent="0.2">
      <c r="A724" s="458" t="e">
        <f>CONCATENATE("Наименование объекта: ",VLOOKUP($F$31,таблица,9,0))</f>
        <v>#N/A</v>
      </c>
      <c r="B724" s="458"/>
      <c r="C724" s="458"/>
      <c r="D724" s="458"/>
      <c r="J724" s="414" t="e">
        <f>A724</f>
        <v>#N/A</v>
      </c>
      <c r="K724" s="365" t="str">
        <f t="shared" si="135"/>
        <v/>
      </c>
    </row>
    <row r="725" spans="1:11" hidden="1" x14ac:dyDescent="0.25">
      <c r="A725" s="383"/>
      <c r="B725" s="372"/>
      <c r="C725" s="372"/>
      <c r="D725" s="372"/>
      <c r="K725" s="365" t="str">
        <f t="shared" si="135"/>
        <v/>
      </c>
    </row>
    <row r="726" spans="1:11" hidden="1" x14ac:dyDescent="0.25">
      <c r="A726" s="415" t="s">
        <v>218</v>
      </c>
      <c r="B726" s="378"/>
      <c r="C726" s="378"/>
      <c r="D726" s="378"/>
      <c r="K726" s="365" t="str">
        <f t="shared" si="135"/>
        <v/>
      </c>
    </row>
    <row r="727" spans="1:11" hidden="1" x14ac:dyDescent="0.25">
      <c r="A727" s="459" t="s">
        <v>219</v>
      </c>
      <c r="B727" s="459"/>
      <c r="C727" s="459"/>
      <c r="D727" s="459"/>
      <c r="K727" s="365" t="str">
        <f t="shared" si="135"/>
        <v/>
      </c>
    </row>
    <row r="728" spans="1:11" ht="31.5" hidden="1" x14ac:dyDescent="0.25">
      <c r="A728" s="385" t="s">
        <v>111</v>
      </c>
      <c r="B728" s="385" t="s">
        <v>167</v>
      </c>
      <c r="C728" s="460" t="e">
        <f>CONCATENATE("Стоимость  согласно сметной документации (руб.) в текущих ценах по состоянию на ",VLOOKUP($F$31,таблица,5,0)," г.")</f>
        <v>#N/A</v>
      </c>
      <c r="D728" s="461"/>
      <c r="I728" s="386" t="e">
        <f>C728</f>
        <v>#N/A</v>
      </c>
      <c r="K728" s="365" t="str">
        <f t="shared" si="135"/>
        <v/>
      </c>
    </row>
    <row r="729" spans="1:11" hidden="1" x14ac:dyDescent="0.25">
      <c r="A729" s="389">
        <v>1</v>
      </c>
      <c r="B729" s="390" t="s">
        <v>68</v>
      </c>
      <c r="C729" s="455" t="e">
        <f>VLOOKUP($F$31,таблица,10,0)</f>
        <v>#N/A</v>
      </c>
      <c r="D729" s="456"/>
      <c r="K729" s="365" t="str">
        <f t="shared" si="135"/>
        <v/>
      </c>
    </row>
    <row r="730" spans="1:11" hidden="1" x14ac:dyDescent="0.25">
      <c r="A730" s="389">
        <v>2</v>
      </c>
      <c r="B730" s="390" t="s">
        <v>58</v>
      </c>
      <c r="C730" s="455" t="e">
        <f>VLOOKUP($F$31,таблица,11,0)</f>
        <v>#N/A</v>
      </c>
      <c r="D730" s="456"/>
      <c r="K730" s="365" t="str">
        <f t="shared" si="135"/>
        <v/>
      </c>
    </row>
    <row r="731" spans="1:11" ht="31.5" hidden="1" x14ac:dyDescent="0.25">
      <c r="A731" s="389">
        <v>3</v>
      </c>
      <c r="B731" s="390" t="s">
        <v>8</v>
      </c>
      <c r="C731" s="455" t="e">
        <f>VLOOKUP($F$31,таблица,12,0)</f>
        <v>#N/A</v>
      </c>
      <c r="D731" s="456"/>
      <c r="K731" s="365" t="str">
        <f t="shared" si="135"/>
        <v/>
      </c>
    </row>
    <row r="732" spans="1:11" hidden="1" x14ac:dyDescent="0.25">
      <c r="A732" s="389">
        <v>4</v>
      </c>
      <c r="B732" s="390" t="s">
        <v>59</v>
      </c>
      <c r="C732" s="455" t="e">
        <f>VLOOKUP($F$31,таблица,13,0)</f>
        <v>#N/A</v>
      </c>
      <c r="D732" s="456"/>
      <c r="K732" s="365" t="str">
        <f t="shared" si="135"/>
        <v/>
      </c>
    </row>
    <row r="733" spans="1:11" hidden="1" x14ac:dyDescent="0.25">
      <c r="A733" s="389">
        <v>5</v>
      </c>
      <c r="B733" s="390" t="s">
        <v>14</v>
      </c>
      <c r="C733" s="455" t="e">
        <f>VLOOKUP($F$31,таблица,14,0)</f>
        <v>#N/A</v>
      </c>
      <c r="D733" s="456"/>
      <c r="K733" s="365" t="str">
        <f t="shared" si="135"/>
        <v/>
      </c>
    </row>
    <row r="734" spans="1:11" hidden="1" x14ac:dyDescent="0.25">
      <c r="A734" s="389">
        <v>6</v>
      </c>
      <c r="B734" s="390" t="s">
        <v>23</v>
      </c>
      <c r="C734" s="455" t="e">
        <f>VLOOKUP($F$31,таблица,18,0)</f>
        <v>#N/A</v>
      </c>
      <c r="D734" s="456"/>
      <c r="K734" s="365" t="str">
        <f t="shared" si="135"/>
        <v/>
      </c>
    </row>
    <row r="735" spans="1:11" hidden="1" x14ac:dyDescent="0.25">
      <c r="A735" s="389">
        <v>7</v>
      </c>
      <c r="B735" s="390" t="s">
        <v>156</v>
      </c>
      <c r="C735" s="455" t="e">
        <f>VLOOKUP($F$31,таблица,19,0)+VLOOKUP($F$31,таблица,21,0)+VLOOKUP($F$31,таблица,22,0)+VLOOKUP($F$31,таблица,23,0)+VLOOKUP($F$31,таблица,24,0)+VLOOKUP($F$31,таблица,25,0)+VLOOKUP($F$31,таблица,26,0)</f>
        <v>#N/A</v>
      </c>
      <c r="D735" s="456"/>
      <c r="K735" s="365" t="str">
        <f t="shared" si="135"/>
        <v/>
      </c>
    </row>
    <row r="736" spans="1:11" hidden="1" x14ac:dyDescent="0.25">
      <c r="A736" s="389">
        <v>8</v>
      </c>
      <c r="B736" s="390" t="s">
        <v>101</v>
      </c>
      <c r="C736" s="455" t="e">
        <f>VLOOKUP($F$31,таблица,31,0)</f>
        <v>#N/A</v>
      </c>
      <c r="D736" s="456"/>
      <c r="K736" s="365" t="str">
        <f t="shared" si="135"/>
        <v/>
      </c>
    </row>
    <row r="737" spans="1:11" hidden="1" x14ac:dyDescent="0.25">
      <c r="A737" s="389">
        <v>9</v>
      </c>
      <c r="B737" s="390" t="s">
        <v>241</v>
      </c>
      <c r="C737" s="455" t="e">
        <f>SUM(C729:D736)</f>
        <v>#N/A</v>
      </c>
      <c r="D737" s="456"/>
      <c r="K737" s="365" t="str">
        <f t="shared" si="135"/>
        <v/>
      </c>
    </row>
    <row r="738" spans="1:11" hidden="1" x14ac:dyDescent="0.25">
      <c r="A738" s="464" t="s">
        <v>231</v>
      </c>
      <c r="B738" s="464"/>
      <c r="C738" s="464"/>
      <c r="D738" s="464"/>
      <c r="K738" s="365" t="str">
        <f t="shared" si="135"/>
        <v/>
      </c>
    </row>
    <row r="739" spans="1:11" ht="31.5" hidden="1" x14ac:dyDescent="0.25">
      <c r="A739" s="392" t="s">
        <v>111</v>
      </c>
      <c r="B739" s="385" t="s">
        <v>36</v>
      </c>
      <c r="C739" s="385" t="s">
        <v>221</v>
      </c>
      <c r="D739" s="385" t="s">
        <v>168</v>
      </c>
      <c r="K739" s="365" t="str">
        <f t="shared" si="135"/>
        <v/>
      </c>
    </row>
    <row r="740" spans="1:11" hidden="1" x14ac:dyDescent="0.25">
      <c r="A740" s="389">
        <v>10</v>
      </c>
      <c r="B740" s="389" t="e">
        <f>VLOOKUP((VLOOKUP($F$31,таблица,8,0)),рем_содер,2,0)</f>
        <v>#N/A</v>
      </c>
      <c r="C740" s="389"/>
      <c r="D740" s="390"/>
      <c r="K740" s="365" t="str">
        <f t="shared" si="135"/>
        <v/>
      </c>
    </row>
    <row r="741" spans="1:11" hidden="1" x14ac:dyDescent="0.25">
      <c r="A741" s="389" t="e">
        <f>IF(D741=0,0,A740+1)</f>
        <v>#N/A</v>
      </c>
      <c r="B741" s="390" t="e">
        <f>CONCATENATE("2015 г. (",CHOOSE(VLOOKUP(F$31,таблица,63,0),"Январь","Февраль","Март","Апрель","Май","Июнь","Июль","Август","Сентябрь","Октябрь","Ноябрь","Декабрь")," - ",CHOOSE(VLOOKUP(F$31,таблица,64,0),"Январь","Февраль","Март","Апрель","Май","Июнь","Июль","Август","Сентябрь","Октябрь","Ноябрь","Декабрь"),")")</f>
        <v>#N/A</v>
      </c>
      <c r="C741" s="389" t="s">
        <v>222</v>
      </c>
      <c r="D741" s="417" t="e">
        <f>IF(D743=0,0,VLOOKUP($F$31,таблица,69,0)*100+100)</f>
        <v>#N/A</v>
      </c>
      <c r="K741" s="365" t="e">
        <f>IF(D741=0,"",1)</f>
        <v>#N/A</v>
      </c>
    </row>
    <row r="742" spans="1:11" hidden="1" x14ac:dyDescent="0.25">
      <c r="A742" s="389" t="e">
        <f>IF(D742=0,0,IF(D741=0,A740+1,A741+1))</f>
        <v>#N/A</v>
      </c>
      <c r="B742" s="390" t="e">
        <f>CONCATENATE("2016 г. (",CHOOSE(VLOOKUP(F$31,таблица,65,0),"Январь","Февраль","Март","Апрель","Май","Июнь","Июль","Август","Сентябрь","Октябрь","Ноябрь","Декабрь")," - ",CHOOSE(VLOOKUP(F$31,таблица,66,0),"Январь","Февраль","Март","Апрель","Май","Июнь","Июль","Август","Сентябрь","Октябрь","Ноябрь","Декабрь"),")")</f>
        <v>#N/A</v>
      </c>
      <c r="C742" s="389" t="s">
        <v>222</v>
      </c>
      <c r="D742" s="417" t="e">
        <f>IF(D744=0,0,VLOOKUP($F$31,таблица,70,0)*100+100)</f>
        <v>#N/A</v>
      </c>
      <c r="K742" s="365" t="e">
        <f t="shared" ref="K742:K743" si="136">IF(D742=0,"",1)</f>
        <v>#N/A</v>
      </c>
    </row>
    <row r="743" spans="1:11" hidden="1" x14ac:dyDescent="0.25">
      <c r="A743" s="389" t="e">
        <f>IF(D743=0,0,IF(D742=0,A741+1,A742+1))</f>
        <v>#N/A</v>
      </c>
      <c r="B743" s="390" t="s">
        <v>223</v>
      </c>
      <c r="C743" s="389" t="s">
        <v>224</v>
      </c>
      <c r="D743" s="394" t="e">
        <f>VLOOKUP($F$31,таблица,46,0)</f>
        <v>#N/A</v>
      </c>
      <c r="K743" s="365" t="e">
        <f t="shared" si="136"/>
        <v>#N/A</v>
      </c>
    </row>
    <row r="744" spans="1:11" hidden="1" x14ac:dyDescent="0.25">
      <c r="A744" s="389" t="e">
        <f>IF(D744=0,0,IF(D743=0,A742+1,A743+1))</f>
        <v>#N/A</v>
      </c>
      <c r="B744" s="390" t="s">
        <v>351</v>
      </c>
      <c r="C744" s="389" t="s">
        <v>224</v>
      </c>
      <c r="D744" s="394" t="e">
        <f>VLOOKUP($F$31,таблица,56,0)</f>
        <v>#N/A</v>
      </c>
      <c r="K744" s="365" t="e">
        <f>IF(D744=0,"",1)</f>
        <v>#N/A</v>
      </c>
    </row>
    <row r="745" spans="1:11" hidden="1" x14ac:dyDescent="0.25">
      <c r="A745" s="464" t="s">
        <v>225</v>
      </c>
      <c r="B745" s="464"/>
      <c r="C745" s="464"/>
      <c r="D745" s="464"/>
      <c r="K745" s="365" t="str">
        <f>IF($F$31=0,"",1)</f>
        <v/>
      </c>
    </row>
    <row r="746" spans="1:11" ht="31.5" hidden="1" x14ac:dyDescent="0.25">
      <c r="A746" s="389" t="e">
        <f>IF(D746=0,0,IF(D744=0,IF(D743=0,A740+1,A743+1),A744+1))</f>
        <v>#N/A</v>
      </c>
      <c r="B746" s="395" t="s">
        <v>275</v>
      </c>
      <c r="C746" s="389" t="s">
        <v>224</v>
      </c>
      <c r="D746" s="394" t="e">
        <f>SUM(VLOOKUP($F$31,таблица,41,0),D743)</f>
        <v>#N/A</v>
      </c>
      <c r="E746" s="365"/>
      <c r="K746" s="365" t="e">
        <f t="shared" ref="K746:K752" si="137">IF(D746=0,"",1)</f>
        <v>#N/A</v>
      </c>
    </row>
    <row r="747" spans="1:11" hidden="1" x14ac:dyDescent="0.25">
      <c r="A747" s="389" t="e">
        <f>IF(D747=0,0,A746+1)</f>
        <v>#N/A</v>
      </c>
      <c r="B747" s="395" t="s">
        <v>227</v>
      </c>
      <c r="C747" s="389" t="s">
        <v>224</v>
      </c>
      <c r="D747" s="394" t="e">
        <f>VLOOKUP($F$31,таблица,51,0)</f>
        <v>#N/A</v>
      </c>
      <c r="E747" s="365"/>
      <c r="K747" s="365" t="e">
        <f t="shared" si="137"/>
        <v>#N/A</v>
      </c>
    </row>
    <row r="748" spans="1:11" hidden="1" x14ac:dyDescent="0.25">
      <c r="A748" s="389" t="e">
        <f>IF(D748=0,0,A747+1)</f>
        <v>#N/A</v>
      </c>
      <c r="B748" s="395" t="s">
        <v>274</v>
      </c>
      <c r="C748" s="389" t="s">
        <v>224</v>
      </c>
      <c r="D748" s="397" t="e">
        <f>SUM(D746:D747)</f>
        <v>#N/A</v>
      </c>
      <c r="E748" s="391" t="e">
        <f>VLOOKUP($F$31,таблица,71,0)</f>
        <v>#N/A</v>
      </c>
      <c r="K748" s="365" t="e">
        <f t="shared" si="137"/>
        <v>#N/A</v>
      </c>
    </row>
    <row r="749" spans="1:11" ht="31.5" hidden="1" x14ac:dyDescent="0.25">
      <c r="A749" s="389" t="e">
        <f>IF(D749=0,0,IF(D748=0,IF(D744=0,A740+1,A744+1),A748+1))</f>
        <v>#N/A</v>
      </c>
      <c r="B749" s="395" t="s">
        <v>349</v>
      </c>
      <c r="C749" s="389" t="s">
        <v>224</v>
      </c>
      <c r="D749" s="394" t="e">
        <f>VLOOKUP($F$31,таблица,36,0)-VLOOKUP($F$31,таблица,41,0)+D744</f>
        <v>#N/A</v>
      </c>
      <c r="K749" s="365" t="e">
        <f t="shared" si="137"/>
        <v>#N/A</v>
      </c>
    </row>
    <row r="750" spans="1:11" hidden="1" x14ac:dyDescent="0.25">
      <c r="A750" s="389" t="e">
        <f>IF(D750=0,0,A749+1)</f>
        <v>#N/A</v>
      </c>
      <c r="B750" s="395" t="s">
        <v>227</v>
      </c>
      <c r="C750" s="389" t="s">
        <v>224</v>
      </c>
      <c r="D750" s="394" t="e">
        <f>VLOOKUP($F$31,таблица,61,0)</f>
        <v>#N/A</v>
      </c>
      <c r="K750" s="365" t="e">
        <f t="shared" si="137"/>
        <v>#N/A</v>
      </c>
    </row>
    <row r="751" spans="1:11" hidden="1" x14ac:dyDescent="0.25">
      <c r="A751" s="389" t="e">
        <f>IF(D751=0,0,A750+1)</f>
        <v>#N/A</v>
      </c>
      <c r="B751" s="395" t="s">
        <v>350</v>
      </c>
      <c r="C751" s="389" t="s">
        <v>224</v>
      </c>
      <c r="D751" s="397" t="e">
        <f>SUM(D749:D750)</f>
        <v>#N/A</v>
      </c>
      <c r="E751" s="391" t="e">
        <f>VLOOKUP($F$31,таблица,72,0)</f>
        <v>#N/A</v>
      </c>
      <c r="K751" s="365" t="e">
        <f t="shared" si="137"/>
        <v>#N/A</v>
      </c>
    </row>
    <row r="752" spans="1:11" hidden="1" x14ac:dyDescent="0.25">
      <c r="A752" s="389" t="e">
        <f>IF(D752=0,0,A751+1)</f>
        <v>#N/A</v>
      </c>
      <c r="B752" s="395" t="s">
        <v>226</v>
      </c>
      <c r="C752" s="389" t="s">
        <v>224</v>
      </c>
      <c r="D752" s="397" t="e">
        <f>IF(OR(D748=0,D751=0),0,D751+D748)</f>
        <v>#N/A</v>
      </c>
      <c r="E752" s="391" t="e">
        <f>VLOOKUP($F$31,таблица,62,0)</f>
        <v>#N/A</v>
      </c>
      <c r="K752" s="365" t="e">
        <f t="shared" si="137"/>
        <v>#N/A</v>
      </c>
    </row>
    <row r="753" spans="1:11" hidden="1" x14ac:dyDescent="0.25">
      <c r="A753" s="400"/>
      <c r="B753" s="400"/>
      <c r="C753" s="400"/>
      <c r="D753" s="401"/>
      <c r="K753" s="365" t="str">
        <f>IF($F$31=0,"",1)</f>
        <v/>
      </c>
    </row>
    <row r="754" spans="1:11" ht="47.25" hidden="1" customHeight="1" x14ac:dyDescent="0.25">
      <c r="A754" s="465" t="str">
        <f>'Анализ стоимости'!$I$58</f>
        <v>Начальник финансового отдела</v>
      </c>
      <c r="B754" s="466"/>
      <c r="C754" s="402"/>
      <c r="D754" s="403" t="str">
        <f>'Анализ стоимости'!$I$59</f>
        <v>А.Ю.Кашуба</v>
      </c>
      <c r="H754" s="405" t="str">
        <f>A754</f>
        <v>Начальник финансового отдела</v>
      </c>
      <c r="K754" s="365" t="str">
        <f>IF($F$31=0,"",1)</f>
        <v/>
      </c>
    </row>
    <row r="755" spans="1:11" hidden="1" x14ac:dyDescent="0.25">
      <c r="A755" s="407"/>
      <c r="B755" s="407"/>
      <c r="C755" s="407"/>
      <c r="D755" s="408"/>
      <c r="K755" s="365" t="str">
        <f>IF($F$31=0,"",1)</f>
        <v/>
      </c>
    </row>
    <row r="756" spans="1:11" hidden="1" x14ac:dyDescent="0.25">
      <c r="A756" s="462">
        <f ca="1">TODAY()</f>
        <v>42101</v>
      </c>
      <c r="B756" s="462"/>
      <c r="C756" s="371"/>
      <c r="D756" s="371"/>
      <c r="K756" s="365" t="str">
        <f>IF($F$31=0,"",1)</f>
        <v/>
      </c>
    </row>
    <row r="757" spans="1:11" hidden="1" x14ac:dyDescent="0.25">
      <c r="A757" s="463" t="s">
        <v>264</v>
      </c>
      <c r="B757" s="463"/>
      <c r="C757" s="463"/>
      <c r="D757" s="463"/>
      <c r="H757" s="369"/>
      <c r="I757" s="369"/>
      <c r="K757" s="365" t="str">
        <f t="shared" ref="K757:K774" si="138">IF($F$32=0,"",1)</f>
        <v/>
      </c>
    </row>
    <row r="758" spans="1:11" ht="47.25" hidden="1" customHeight="1" x14ac:dyDescent="0.2">
      <c r="A758" s="458" t="e">
        <f>CONCATENATE("Наименование объекта: ",VLOOKUP($F$32,таблица,9,0))</f>
        <v>#N/A</v>
      </c>
      <c r="B758" s="458"/>
      <c r="C758" s="458"/>
      <c r="D758" s="458"/>
      <c r="J758" s="414" t="e">
        <f>A758</f>
        <v>#N/A</v>
      </c>
      <c r="K758" s="365" t="str">
        <f t="shared" si="138"/>
        <v/>
      </c>
    </row>
    <row r="759" spans="1:11" hidden="1" x14ac:dyDescent="0.25">
      <c r="A759" s="383"/>
      <c r="B759" s="372"/>
      <c r="C759" s="372"/>
      <c r="D759" s="372"/>
      <c r="K759" s="365" t="str">
        <f t="shared" si="138"/>
        <v/>
      </c>
    </row>
    <row r="760" spans="1:11" hidden="1" x14ac:dyDescent="0.25">
      <c r="A760" s="415" t="s">
        <v>218</v>
      </c>
      <c r="B760" s="378"/>
      <c r="C760" s="378"/>
      <c r="D760" s="378"/>
      <c r="K760" s="365" t="str">
        <f t="shared" si="138"/>
        <v/>
      </c>
    </row>
    <row r="761" spans="1:11" hidden="1" x14ac:dyDescent="0.25">
      <c r="A761" s="459" t="s">
        <v>219</v>
      </c>
      <c r="B761" s="459"/>
      <c r="C761" s="459"/>
      <c r="D761" s="459"/>
      <c r="K761" s="365" t="str">
        <f t="shared" si="138"/>
        <v/>
      </c>
    </row>
    <row r="762" spans="1:11" ht="31.5" hidden="1" x14ac:dyDescent="0.25">
      <c r="A762" s="385" t="s">
        <v>111</v>
      </c>
      <c r="B762" s="385" t="s">
        <v>167</v>
      </c>
      <c r="C762" s="460" t="e">
        <f>CONCATENATE("Стоимость  согласно сметной документации (руб.) в текущих ценах по состоянию на ",VLOOKUP($F$32,таблица,5,0)," г.")</f>
        <v>#N/A</v>
      </c>
      <c r="D762" s="461"/>
      <c r="I762" s="386" t="e">
        <f>C762</f>
        <v>#N/A</v>
      </c>
      <c r="K762" s="365" t="str">
        <f t="shared" si="138"/>
        <v/>
      </c>
    </row>
    <row r="763" spans="1:11" hidden="1" x14ac:dyDescent="0.25">
      <c r="A763" s="389">
        <v>1</v>
      </c>
      <c r="B763" s="390" t="s">
        <v>68</v>
      </c>
      <c r="C763" s="455" t="e">
        <f>VLOOKUP($F$32,таблица,10,0)</f>
        <v>#N/A</v>
      </c>
      <c r="D763" s="456"/>
      <c r="K763" s="365" t="str">
        <f t="shared" si="138"/>
        <v/>
      </c>
    </row>
    <row r="764" spans="1:11" hidden="1" x14ac:dyDescent="0.25">
      <c r="A764" s="389">
        <v>2</v>
      </c>
      <c r="B764" s="390" t="s">
        <v>58</v>
      </c>
      <c r="C764" s="455" t="e">
        <f>VLOOKUP($F$32,таблица,11,0)</f>
        <v>#N/A</v>
      </c>
      <c r="D764" s="456"/>
      <c r="K764" s="365" t="str">
        <f t="shared" si="138"/>
        <v/>
      </c>
    </row>
    <row r="765" spans="1:11" ht="31.5" hidden="1" x14ac:dyDescent="0.25">
      <c r="A765" s="389">
        <v>3</v>
      </c>
      <c r="B765" s="390" t="s">
        <v>8</v>
      </c>
      <c r="C765" s="455" t="e">
        <f>VLOOKUP($F$32,таблица,12,0)</f>
        <v>#N/A</v>
      </c>
      <c r="D765" s="456"/>
      <c r="K765" s="365" t="str">
        <f t="shared" si="138"/>
        <v/>
      </c>
    </row>
    <row r="766" spans="1:11" hidden="1" x14ac:dyDescent="0.25">
      <c r="A766" s="389">
        <v>4</v>
      </c>
      <c r="B766" s="390" t="s">
        <v>59</v>
      </c>
      <c r="C766" s="455" t="e">
        <f>VLOOKUP($F$32,таблица,13,0)</f>
        <v>#N/A</v>
      </c>
      <c r="D766" s="456"/>
      <c r="K766" s="365" t="str">
        <f t="shared" si="138"/>
        <v/>
      </c>
    </row>
    <row r="767" spans="1:11" hidden="1" x14ac:dyDescent="0.25">
      <c r="A767" s="389">
        <v>5</v>
      </c>
      <c r="B767" s="390" t="s">
        <v>14</v>
      </c>
      <c r="C767" s="455" t="e">
        <f>VLOOKUP($F$32,таблица,14,0)</f>
        <v>#N/A</v>
      </c>
      <c r="D767" s="456"/>
      <c r="K767" s="365" t="str">
        <f t="shared" si="138"/>
        <v/>
      </c>
    </row>
    <row r="768" spans="1:11" hidden="1" x14ac:dyDescent="0.25">
      <c r="A768" s="389">
        <v>6</v>
      </c>
      <c r="B768" s="390" t="s">
        <v>23</v>
      </c>
      <c r="C768" s="455" t="e">
        <f>VLOOKUP($F$32,таблица,18,0)</f>
        <v>#N/A</v>
      </c>
      <c r="D768" s="456"/>
      <c r="K768" s="365" t="str">
        <f t="shared" si="138"/>
        <v/>
      </c>
    </row>
    <row r="769" spans="1:11" hidden="1" x14ac:dyDescent="0.25">
      <c r="A769" s="389">
        <v>7</v>
      </c>
      <c r="B769" s="390" t="s">
        <v>156</v>
      </c>
      <c r="C769" s="455" t="e">
        <f>VLOOKUP($F$32,таблица,19,0)+VLOOKUP($F$32,таблица,21,0)+VLOOKUP($F$32,таблица,22,0)+VLOOKUP($F$32,таблица,23,0)+VLOOKUP($F$32,таблица,24,0)+VLOOKUP($F$32,таблица,25,0)+VLOOKUP($F$32,таблица,26,0)</f>
        <v>#N/A</v>
      </c>
      <c r="D769" s="456"/>
      <c r="K769" s="365" t="str">
        <f t="shared" si="138"/>
        <v/>
      </c>
    </row>
    <row r="770" spans="1:11" hidden="1" x14ac:dyDescent="0.25">
      <c r="A770" s="389">
        <v>8</v>
      </c>
      <c r="B770" s="390" t="s">
        <v>101</v>
      </c>
      <c r="C770" s="455" t="e">
        <f>VLOOKUP($F$32,таблица,31,0)</f>
        <v>#N/A</v>
      </c>
      <c r="D770" s="456"/>
      <c r="K770" s="365" t="str">
        <f t="shared" si="138"/>
        <v/>
      </c>
    </row>
    <row r="771" spans="1:11" hidden="1" x14ac:dyDescent="0.25">
      <c r="A771" s="389">
        <v>9</v>
      </c>
      <c r="B771" s="390" t="s">
        <v>241</v>
      </c>
      <c r="C771" s="455" t="e">
        <f>SUM(C763:D770)</f>
        <v>#N/A</v>
      </c>
      <c r="D771" s="456"/>
      <c r="K771" s="365" t="str">
        <f t="shared" si="138"/>
        <v/>
      </c>
    </row>
    <row r="772" spans="1:11" hidden="1" x14ac:dyDescent="0.25">
      <c r="A772" s="464" t="s">
        <v>231</v>
      </c>
      <c r="B772" s="464"/>
      <c r="C772" s="464"/>
      <c r="D772" s="464"/>
      <c r="K772" s="365" t="str">
        <f t="shared" si="138"/>
        <v/>
      </c>
    </row>
    <row r="773" spans="1:11" ht="31.5" hidden="1" x14ac:dyDescent="0.25">
      <c r="A773" s="392" t="s">
        <v>111</v>
      </c>
      <c r="B773" s="385" t="s">
        <v>36</v>
      </c>
      <c r="C773" s="385" t="s">
        <v>221</v>
      </c>
      <c r="D773" s="385" t="s">
        <v>168</v>
      </c>
      <c r="K773" s="365" t="str">
        <f t="shared" si="138"/>
        <v/>
      </c>
    </row>
    <row r="774" spans="1:11" hidden="1" x14ac:dyDescent="0.25">
      <c r="A774" s="389">
        <v>10</v>
      </c>
      <c r="B774" s="389" t="e">
        <f>VLOOKUP((VLOOKUP($F$32,таблица,8,0)),рем_содер,2,0)</f>
        <v>#N/A</v>
      </c>
      <c r="C774" s="389"/>
      <c r="D774" s="390"/>
      <c r="K774" s="365" t="str">
        <f t="shared" si="138"/>
        <v/>
      </c>
    </row>
    <row r="775" spans="1:11" hidden="1" x14ac:dyDescent="0.25">
      <c r="A775" s="389" t="e">
        <f>IF(D775=0,0,A774+1)</f>
        <v>#N/A</v>
      </c>
      <c r="B775" s="390" t="e">
        <f>CONCATENATE("2015 г. (",CHOOSE(VLOOKUP(F$32,таблица,63,0),"Январь","Февраль","Март","Апрель","Май","Июнь","Июль","Август","Сентябрь","Октябрь","Ноябрь","Декабрь")," - ",CHOOSE(VLOOKUP(F$32,таблица,64,0),"Январь","Февраль","Март","Апрель","Май","Июнь","Июль","Август","Сентябрь","Октябрь","Ноябрь","Декабрь"),")")</f>
        <v>#N/A</v>
      </c>
      <c r="C775" s="389" t="s">
        <v>222</v>
      </c>
      <c r="D775" s="417" t="e">
        <f>IF(D777=0,0,VLOOKUP($F$32,таблица,69,0)*100+100)</f>
        <v>#N/A</v>
      </c>
      <c r="K775" s="365" t="e">
        <f>IF(D775=0,"",1)</f>
        <v>#N/A</v>
      </c>
    </row>
    <row r="776" spans="1:11" hidden="1" x14ac:dyDescent="0.25">
      <c r="A776" s="389" t="e">
        <f>IF(D776=0,0,IF(D775=0,A774+1,A775+1))</f>
        <v>#N/A</v>
      </c>
      <c r="B776" s="390" t="e">
        <f>CONCATENATE("2016 г. (",CHOOSE(VLOOKUP(F$32,таблица,65,0),"Январь","Февраль","Март","Апрель","Май","Июнь","Июль","Август","Сентябрь","Октябрь","Ноябрь","Декабрь")," - ",CHOOSE(VLOOKUP(F$32,таблица,66,0),"Январь","Февраль","Март","Апрель","Май","Июнь","Июль","Август","Сентябрь","Октябрь","Ноябрь","Декабрь"),")")</f>
        <v>#N/A</v>
      </c>
      <c r="C776" s="389" t="s">
        <v>222</v>
      </c>
      <c r="D776" s="417" t="e">
        <f>IF(D778=0,0,VLOOKUP($F$32,таблица,70,0)*100+100)</f>
        <v>#N/A</v>
      </c>
      <c r="K776" s="365" t="e">
        <f t="shared" ref="K776:K777" si="139">IF(D776=0,"",1)</f>
        <v>#N/A</v>
      </c>
    </row>
    <row r="777" spans="1:11" hidden="1" x14ac:dyDescent="0.25">
      <c r="A777" s="389" t="e">
        <f>IF(D777=0,0,IF(D776=0,A775+1,A776+1))</f>
        <v>#N/A</v>
      </c>
      <c r="B777" s="390" t="s">
        <v>223</v>
      </c>
      <c r="C777" s="389" t="s">
        <v>224</v>
      </c>
      <c r="D777" s="394" t="e">
        <f>VLOOKUP($F$32,таблица,46,0)</f>
        <v>#N/A</v>
      </c>
      <c r="K777" s="365" t="e">
        <f t="shared" si="139"/>
        <v>#N/A</v>
      </c>
    </row>
    <row r="778" spans="1:11" hidden="1" x14ac:dyDescent="0.25">
      <c r="A778" s="389" t="e">
        <f>IF(D778=0,0,IF(D777=0,A776+1,A777+1))</f>
        <v>#N/A</v>
      </c>
      <c r="B778" s="390" t="s">
        <v>351</v>
      </c>
      <c r="C778" s="389" t="s">
        <v>224</v>
      </c>
      <c r="D778" s="394" t="e">
        <f>VLOOKUP($F$32,таблица,56,0)</f>
        <v>#N/A</v>
      </c>
      <c r="K778" s="365" t="e">
        <f>IF(D778=0,"",1)</f>
        <v>#N/A</v>
      </c>
    </row>
    <row r="779" spans="1:11" hidden="1" x14ac:dyDescent="0.25">
      <c r="A779" s="464" t="s">
        <v>225</v>
      </c>
      <c r="B779" s="464"/>
      <c r="C779" s="464"/>
      <c r="D779" s="464"/>
      <c r="K779" s="365" t="str">
        <f>IF($F$32=0,"",1)</f>
        <v/>
      </c>
    </row>
    <row r="780" spans="1:11" ht="31.5" hidden="1" x14ac:dyDescent="0.25">
      <c r="A780" s="389" t="e">
        <f>IF(D780=0,0,IF(D778=0,IF(D777=0,A774+1,A777+1),A778+1))</f>
        <v>#N/A</v>
      </c>
      <c r="B780" s="395" t="s">
        <v>275</v>
      </c>
      <c r="C780" s="389" t="s">
        <v>224</v>
      </c>
      <c r="D780" s="394" t="e">
        <f>SUM(VLOOKUP($F$32,таблица,41,0),D777)</f>
        <v>#N/A</v>
      </c>
      <c r="E780" s="365"/>
      <c r="K780" s="365" t="e">
        <f t="shared" ref="K780:K786" si="140">IF(D780=0,"",1)</f>
        <v>#N/A</v>
      </c>
    </row>
    <row r="781" spans="1:11" hidden="1" x14ac:dyDescent="0.25">
      <c r="A781" s="389" t="e">
        <f>IF(D781=0,0,A780+1)</f>
        <v>#N/A</v>
      </c>
      <c r="B781" s="395" t="s">
        <v>227</v>
      </c>
      <c r="C781" s="389" t="s">
        <v>224</v>
      </c>
      <c r="D781" s="394" t="e">
        <f>VLOOKUP($F$32,таблица,51,0)</f>
        <v>#N/A</v>
      </c>
      <c r="E781" s="365"/>
      <c r="K781" s="365" t="e">
        <f t="shared" si="140"/>
        <v>#N/A</v>
      </c>
    </row>
    <row r="782" spans="1:11" hidden="1" x14ac:dyDescent="0.25">
      <c r="A782" s="389" t="e">
        <f>IF(D782=0,0,A781+1)</f>
        <v>#N/A</v>
      </c>
      <c r="B782" s="395" t="s">
        <v>274</v>
      </c>
      <c r="C782" s="389" t="s">
        <v>224</v>
      </c>
      <c r="D782" s="397" t="e">
        <f>SUM(D780:D781)</f>
        <v>#N/A</v>
      </c>
      <c r="E782" s="391" t="e">
        <f>VLOOKUP($F$32,таблица,71,0)</f>
        <v>#N/A</v>
      </c>
      <c r="K782" s="365" t="e">
        <f t="shared" si="140"/>
        <v>#N/A</v>
      </c>
    </row>
    <row r="783" spans="1:11" ht="31.5" hidden="1" x14ac:dyDescent="0.25">
      <c r="A783" s="389" t="e">
        <f>IF(D783=0,0,IF(D782=0,IF(D778=0,A774+1,A778+1),A782+1))</f>
        <v>#N/A</v>
      </c>
      <c r="B783" s="395" t="s">
        <v>349</v>
      </c>
      <c r="C783" s="389" t="s">
        <v>224</v>
      </c>
      <c r="D783" s="394" t="e">
        <f>VLOOKUP($F$32,таблица,36,0)-VLOOKUP($F$32,таблица,41,0)+D778</f>
        <v>#N/A</v>
      </c>
      <c r="K783" s="365" t="e">
        <f t="shared" si="140"/>
        <v>#N/A</v>
      </c>
    </row>
    <row r="784" spans="1:11" hidden="1" x14ac:dyDescent="0.25">
      <c r="A784" s="389" t="e">
        <f>IF(D784=0,0,A783+1)</f>
        <v>#N/A</v>
      </c>
      <c r="B784" s="395" t="s">
        <v>227</v>
      </c>
      <c r="C784" s="389" t="s">
        <v>224</v>
      </c>
      <c r="D784" s="394" t="e">
        <f>VLOOKUP($F$32,таблица,61,0)</f>
        <v>#N/A</v>
      </c>
      <c r="K784" s="365" t="e">
        <f t="shared" si="140"/>
        <v>#N/A</v>
      </c>
    </row>
    <row r="785" spans="1:11" hidden="1" x14ac:dyDescent="0.25">
      <c r="A785" s="389" t="e">
        <f>IF(D785=0,0,A784+1)</f>
        <v>#N/A</v>
      </c>
      <c r="B785" s="395" t="s">
        <v>350</v>
      </c>
      <c r="C785" s="389" t="s">
        <v>224</v>
      </c>
      <c r="D785" s="397" t="e">
        <f>SUM(D783:D784)</f>
        <v>#N/A</v>
      </c>
      <c r="E785" s="391" t="e">
        <f>VLOOKUP($F$32,таблица,72,0)</f>
        <v>#N/A</v>
      </c>
      <c r="K785" s="365" t="e">
        <f t="shared" si="140"/>
        <v>#N/A</v>
      </c>
    </row>
    <row r="786" spans="1:11" hidden="1" x14ac:dyDescent="0.25">
      <c r="A786" s="389" t="e">
        <f>IF(D786=0,0,A785+1)</f>
        <v>#N/A</v>
      </c>
      <c r="B786" s="395" t="s">
        <v>226</v>
      </c>
      <c r="C786" s="389" t="s">
        <v>224</v>
      </c>
      <c r="D786" s="397" t="e">
        <f>IF(OR(D782=0,D785=0),0,D785+D782)</f>
        <v>#N/A</v>
      </c>
      <c r="E786" s="391" t="e">
        <f>VLOOKUP($F$32,таблица,62,0)</f>
        <v>#N/A</v>
      </c>
      <c r="K786" s="365" t="e">
        <f t="shared" si="140"/>
        <v>#N/A</v>
      </c>
    </row>
    <row r="787" spans="1:11" hidden="1" x14ac:dyDescent="0.25">
      <c r="A787" s="400"/>
      <c r="B787" s="400"/>
      <c r="C787" s="400"/>
      <c r="D787" s="401"/>
      <c r="K787" s="365" t="str">
        <f>IF($F$32=0,"",1)</f>
        <v/>
      </c>
    </row>
    <row r="788" spans="1:11" ht="47.25" hidden="1" customHeight="1" x14ac:dyDescent="0.25">
      <c r="A788" s="465" t="str">
        <f>'Анализ стоимости'!$I$58</f>
        <v>Начальник финансового отдела</v>
      </c>
      <c r="B788" s="466"/>
      <c r="C788" s="402"/>
      <c r="D788" s="403" t="str">
        <f>'Анализ стоимости'!$I$59</f>
        <v>А.Ю.Кашуба</v>
      </c>
      <c r="H788" s="405" t="str">
        <f>A788</f>
        <v>Начальник финансового отдела</v>
      </c>
      <c r="K788" s="365" t="str">
        <f>IF($F$32=0,"",1)</f>
        <v/>
      </c>
    </row>
    <row r="789" spans="1:11" hidden="1" x14ac:dyDescent="0.25">
      <c r="A789" s="407"/>
      <c r="B789" s="407"/>
      <c r="C789" s="407"/>
      <c r="D789" s="408"/>
      <c r="K789" s="365" t="str">
        <f>IF($F$32=0,"",1)</f>
        <v/>
      </c>
    </row>
    <row r="790" spans="1:11" hidden="1" x14ac:dyDescent="0.25">
      <c r="A790" s="462">
        <f ca="1">TODAY()</f>
        <v>42101</v>
      </c>
      <c r="B790" s="462"/>
      <c r="C790" s="371"/>
      <c r="D790" s="371"/>
      <c r="K790" s="365" t="str">
        <f>IF($F$32=0,"",1)</f>
        <v/>
      </c>
    </row>
    <row r="791" spans="1:11" hidden="1" x14ac:dyDescent="0.25">
      <c r="A791" s="463" t="s">
        <v>265</v>
      </c>
      <c r="B791" s="463"/>
      <c r="C791" s="463"/>
      <c r="D791" s="463"/>
      <c r="H791" s="369"/>
      <c r="I791" s="369"/>
      <c r="K791" s="365" t="str">
        <f t="shared" ref="K791:K808" si="141">IF($F$33=0,"",1)</f>
        <v/>
      </c>
    </row>
    <row r="792" spans="1:11" ht="47.25" hidden="1" customHeight="1" x14ac:dyDescent="0.2">
      <c r="A792" s="458" t="e">
        <f>CONCATENATE("Наименование объекта: ",VLOOKUP($F$33,таблица,9,0))</f>
        <v>#N/A</v>
      </c>
      <c r="B792" s="458"/>
      <c r="C792" s="458"/>
      <c r="D792" s="458"/>
      <c r="J792" s="414" t="e">
        <f>A792</f>
        <v>#N/A</v>
      </c>
      <c r="K792" s="365" t="str">
        <f t="shared" si="141"/>
        <v/>
      </c>
    </row>
    <row r="793" spans="1:11" hidden="1" x14ac:dyDescent="0.25">
      <c r="A793" s="383"/>
      <c r="B793" s="372"/>
      <c r="C793" s="372"/>
      <c r="D793" s="372"/>
      <c r="K793" s="365" t="str">
        <f t="shared" si="141"/>
        <v/>
      </c>
    </row>
    <row r="794" spans="1:11" hidden="1" x14ac:dyDescent="0.25">
      <c r="A794" s="415" t="s">
        <v>218</v>
      </c>
      <c r="B794" s="378"/>
      <c r="C794" s="378"/>
      <c r="D794" s="378"/>
      <c r="K794" s="365" t="str">
        <f t="shared" si="141"/>
        <v/>
      </c>
    </row>
    <row r="795" spans="1:11" hidden="1" x14ac:dyDescent="0.25">
      <c r="A795" s="459" t="s">
        <v>219</v>
      </c>
      <c r="B795" s="459"/>
      <c r="C795" s="459"/>
      <c r="D795" s="459"/>
      <c r="K795" s="365" t="str">
        <f t="shared" si="141"/>
        <v/>
      </c>
    </row>
    <row r="796" spans="1:11" ht="31.5" hidden="1" x14ac:dyDescent="0.25">
      <c r="A796" s="385" t="s">
        <v>111</v>
      </c>
      <c r="B796" s="385" t="s">
        <v>167</v>
      </c>
      <c r="C796" s="460" t="e">
        <f>CONCATENATE("Стоимость  согласно сметной документации (руб.) в текущих ценах по состоянию на ",VLOOKUP($F$33,таблица,5,0)," г.")</f>
        <v>#N/A</v>
      </c>
      <c r="D796" s="461"/>
      <c r="I796" s="386" t="e">
        <f>C796</f>
        <v>#N/A</v>
      </c>
      <c r="K796" s="365" t="str">
        <f t="shared" si="141"/>
        <v/>
      </c>
    </row>
    <row r="797" spans="1:11" hidden="1" x14ac:dyDescent="0.25">
      <c r="A797" s="389">
        <v>1</v>
      </c>
      <c r="B797" s="390" t="s">
        <v>68</v>
      </c>
      <c r="C797" s="455" t="e">
        <f>VLOOKUP($F$33,таблица,10,0)</f>
        <v>#N/A</v>
      </c>
      <c r="D797" s="456"/>
      <c r="K797" s="365" t="str">
        <f t="shared" si="141"/>
        <v/>
      </c>
    </row>
    <row r="798" spans="1:11" hidden="1" x14ac:dyDescent="0.25">
      <c r="A798" s="389">
        <v>2</v>
      </c>
      <c r="B798" s="390" t="s">
        <v>58</v>
      </c>
      <c r="C798" s="455" t="e">
        <f>VLOOKUP($F$33,таблица,11,0)</f>
        <v>#N/A</v>
      </c>
      <c r="D798" s="456"/>
      <c r="K798" s="365" t="str">
        <f t="shared" si="141"/>
        <v/>
      </c>
    </row>
    <row r="799" spans="1:11" ht="31.5" hidden="1" x14ac:dyDescent="0.25">
      <c r="A799" s="389">
        <v>3</v>
      </c>
      <c r="B799" s="390" t="s">
        <v>8</v>
      </c>
      <c r="C799" s="455" t="e">
        <f>VLOOKUP($F$33,таблица,12,0)</f>
        <v>#N/A</v>
      </c>
      <c r="D799" s="456"/>
      <c r="K799" s="365" t="str">
        <f t="shared" si="141"/>
        <v/>
      </c>
    </row>
    <row r="800" spans="1:11" hidden="1" x14ac:dyDescent="0.25">
      <c r="A800" s="389">
        <v>4</v>
      </c>
      <c r="B800" s="390" t="s">
        <v>59</v>
      </c>
      <c r="C800" s="455" t="e">
        <f>VLOOKUP($F$33,таблица,13,0)</f>
        <v>#N/A</v>
      </c>
      <c r="D800" s="456"/>
      <c r="K800" s="365" t="str">
        <f t="shared" si="141"/>
        <v/>
      </c>
    </row>
    <row r="801" spans="1:11" hidden="1" x14ac:dyDescent="0.25">
      <c r="A801" s="389">
        <v>5</v>
      </c>
      <c r="B801" s="390" t="s">
        <v>14</v>
      </c>
      <c r="C801" s="455" t="e">
        <f>VLOOKUP($F$33,таблица,14,0)</f>
        <v>#N/A</v>
      </c>
      <c r="D801" s="456"/>
      <c r="K801" s="365" t="str">
        <f t="shared" si="141"/>
        <v/>
      </c>
    </row>
    <row r="802" spans="1:11" hidden="1" x14ac:dyDescent="0.25">
      <c r="A802" s="389">
        <v>6</v>
      </c>
      <c r="B802" s="390" t="s">
        <v>23</v>
      </c>
      <c r="C802" s="455" t="e">
        <f>VLOOKUP($F$33,таблица,18,0)</f>
        <v>#N/A</v>
      </c>
      <c r="D802" s="456"/>
      <c r="K802" s="365" t="str">
        <f t="shared" si="141"/>
        <v/>
      </c>
    </row>
    <row r="803" spans="1:11" hidden="1" x14ac:dyDescent="0.25">
      <c r="A803" s="389">
        <v>7</v>
      </c>
      <c r="B803" s="390" t="s">
        <v>156</v>
      </c>
      <c r="C803" s="455" t="e">
        <f>VLOOKUP($F$33,таблица,19,0)+VLOOKUP($F$33,таблица,21,0)+VLOOKUP($F$33,таблица,22,0)+VLOOKUP($F$33,таблица,23,0)+VLOOKUP($F$33,таблица,24,0)+VLOOKUP($F$33,таблица,25,0)+VLOOKUP($F$33,таблица,26,0)</f>
        <v>#N/A</v>
      </c>
      <c r="D803" s="456"/>
      <c r="K803" s="365" t="str">
        <f t="shared" si="141"/>
        <v/>
      </c>
    </row>
    <row r="804" spans="1:11" hidden="1" x14ac:dyDescent="0.25">
      <c r="A804" s="389">
        <v>8</v>
      </c>
      <c r="B804" s="390" t="s">
        <v>101</v>
      </c>
      <c r="C804" s="455" t="e">
        <f>VLOOKUP($F$33,таблица,31,0)</f>
        <v>#N/A</v>
      </c>
      <c r="D804" s="456"/>
      <c r="K804" s="365" t="str">
        <f t="shared" si="141"/>
        <v/>
      </c>
    </row>
    <row r="805" spans="1:11" hidden="1" x14ac:dyDescent="0.25">
      <c r="A805" s="389">
        <v>9</v>
      </c>
      <c r="B805" s="390" t="s">
        <v>241</v>
      </c>
      <c r="C805" s="455" t="e">
        <f>SUM(C797:D804)</f>
        <v>#N/A</v>
      </c>
      <c r="D805" s="456"/>
      <c r="K805" s="365" t="str">
        <f t="shared" si="141"/>
        <v/>
      </c>
    </row>
    <row r="806" spans="1:11" hidden="1" x14ac:dyDescent="0.25">
      <c r="A806" s="464" t="s">
        <v>231</v>
      </c>
      <c r="B806" s="464"/>
      <c r="C806" s="464"/>
      <c r="D806" s="464"/>
      <c r="K806" s="365" t="str">
        <f t="shared" si="141"/>
        <v/>
      </c>
    </row>
    <row r="807" spans="1:11" ht="31.5" hidden="1" x14ac:dyDescent="0.25">
      <c r="A807" s="392" t="s">
        <v>111</v>
      </c>
      <c r="B807" s="385" t="s">
        <v>36</v>
      </c>
      <c r="C807" s="385" t="s">
        <v>221</v>
      </c>
      <c r="D807" s="385" t="s">
        <v>168</v>
      </c>
      <c r="K807" s="365" t="str">
        <f t="shared" si="141"/>
        <v/>
      </c>
    </row>
    <row r="808" spans="1:11" hidden="1" x14ac:dyDescent="0.25">
      <c r="A808" s="389">
        <v>10</v>
      </c>
      <c r="B808" s="389" t="e">
        <f>VLOOKUP((VLOOKUP($F$33,таблица,8,0)),рем_содер,2,0)</f>
        <v>#N/A</v>
      </c>
      <c r="C808" s="389"/>
      <c r="D808" s="390"/>
      <c r="K808" s="365" t="str">
        <f t="shared" si="141"/>
        <v/>
      </c>
    </row>
    <row r="809" spans="1:11" hidden="1" x14ac:dyDescent="0.25">
      <c r="A809" s="389" t="e">
        <f>IF(D809=0,0,A808+1)</f>
        <v>#N/A</v>
      </c>
      <c r="B809" s="390" t="e">
        <f>CONCATENATE("2015 г. (",CHOOSE(VLOOKUP(F$33,таблица,63,0),"Январь","Февраль","Март","Апрель","Май","Июнь","Июль","Август","Сентябрь","Октябрь","Ноябрь","Декабрь")," - ",CHOOSE(VLOOKUP(F$33,таблица,64,0),"Январь","Февраль","Март","Апрель","Май","Июнь","Июль","Август","Сентябрь","Октябрь","Ноябрь","Декабрь"),")")</f>
        <v>#N/A</v>
      </c>
      <c r="C809" s="389" t="s">
        <v>222</v>
      </c>
      <c r="D809" s="417" t="e">
        <f>IF(D811=0,0,VLOOKUP($F$33,таблица,69,0)*100+100)</f>
        <v>#N/A</v>
      </c>
      <c r="K809" s="365" t="e">
        <f>IF(D809=0,"",1)</f>
        <v>#N/A</v>
      </c>
    </row>
    <row r="810" spans="1:11" hidden="1" x14ac:dyDescent="0.25">
      <c r="A810" s="389" t="e">
        <f>IF(D810=0,0,IF(D809=0,A808+1,A809+1))</f>
        <v>#N/A</v>
      </c>
      <c r="B810" s="390" t="e">
        <f>CONCATENATE("2016 г. (",CHOOSE(VLOOKUP(F$33,таблица,65,0),"Январь","Февраль","Март","Апрель","Май","Июнь","Июль","Август","Сентябрь","Октябрь","Ноябрь","Декабрь")," - ",CHOOSE(VLOOKUP(F$33,таблица,66,0),"Январь","Февраль","Март","Апрель","Май","Июнь","Июль","Август","Сентябрь","Октябрь","Ноябрь","Декабрь"),")")</f>
        <v>#N/A</v>
      </c>
      <c r="C810" s="389" t="s">
        <v>222</v>
      </c>
      <c r="D810" s="417" t="e">
        <f>IF(D812=0,0,VLOOKUP($F$33,таблица,70,0)*100+100)</f>
        <v>#N/A</v>
      </c>
      <c r="K810" s="365" t="e">
        <f t="shared" ref="K810:K811" si="142">IF(D810=0,"",1)</f>
        <v>#N/A</v>
      </c>
    </row>
    <row r="811" spans="1:11" hidden="1" x14ac:dyDescent="0.25">
      <c r="A811" s="389" t="e">
        <f>IF(D811=0,0,IF(D810=0,A809+1,A810+1))</f>
        <v>#N/A</v>
      </c>
      <c r="B811" s="390" t="s">
        <v>223</v>
      </c>
      <c r="C811" s="389" t="s">
        <v>224</v>
      </c>
      <c r="D811" s="394" t="e">
        <f>VLOOKUP($F$33,таблица,46,0)</f>
        <v>#N/A</v>
      </c>
      <c r="K811" s="365" t="e">
        <f t="shared" si="142"/>
        <v>#N/A</v>
      </c>
    </row>
    <row r="812" spans="1:11" hidden="1" x14ac:dyDescent="0.25">
      <c r="A812" s="389" t="e">
        <f>IF(D812=0,0,IF(D811=0,A810+1,A811+1))</f>
        <v>#N/A</v>
      </c>
      <c r="B812" s="390" t="s">
        <v>351</v>
      </c>
      <c r="C812" s="389" t="s">
        <v>224</v>
      </c>
      <c r="D812" s="394" t="e">
        <f>VLOOKUP($F$33,таблица,56,0)</f>
        <v>#N/A</v>
      </c>
      <c r="K812" s="365" t="e">
        <f>IF(D812=0,"",1)</f>
        <v>#N/A</v>
      </c>
    </row>
    <row r="813" spans="1:11" hidden="1" x14ac:dyDescent="0.25">
      <c r="A813" s="464" t="s">
        <v>225</v>
      </c>
      <c r="B813" s="464"/>
      <c r="C813" s="464"/>
      <c r="D813" s="464"/>
      <c r="K813" s="365" t="str">
        <f>IF($F$33=0,"",1)</f>
        <v/>
      </c>
    </row>
    <row r="814" spans="1:11" ht="31.5" hidden="1" x14ac:dyDescent="0.25">
      <c r="A814" s="389" t="e">
        <f>IF(D814=0,0,IF(D812=0,IF(D811=0,A808+1,A811+1),A812+1))</f>
        <v>#N/A</v>
      </c>
      <c r="B814" s="395" t="s">
        <v>275</v>
      </c>
      <c r="C814" s="389" t="s">
        <v>224</v>
      </c>
      <c r="D814" s="394" t="e">
        <f>SUM(VLOOKUP($F$33,таблица,41,0),D811)</f>
        <v>#N/A</v>
      </c>
      <c r="E814" s="365"/>
      <c r="K814" s="365" t="e">
        <f t="shared" ref="K814:K820" si="143">IF(D814=0,"",1)</f>
        <v>#N/A</v>
      </c>
    </row>
    <row r="815" spans="1:11" hidden="1" x14ac:dyDescent="0.25">
      <c r="A815" s="389" t="e">
        <f>IF(D815=0,0,A814+1)</f>
        <v>#N/A</v>
      </c>
      <c r="B815" s="395" t="s">
        <v>227</v>
      </c>
      <c r="C815" s="389" t="s">
        <v>224</v>
      </c>
      <c r="D815" s="394" t="e">
        <f>VLOOKUP($F$33,таблица,51,0)</f>
        <v>#N/A</v>
      </c>
      <c r="E815" s="365"/>
      <c r="K815" s="365" t="e">
        <f t="shared" si="143"/>
        <v>#N/A</v>
      </c>
    </row>
    <row r="816" spans="1:11" hidden="1" x14ac:dyDescent="0.25">
      <c r="A816" s="389" t="e">
        <f>IF(D816=0,0,A815+1)</f>
        <v>#N/A</v>
      </c>
      <c r="B816" s="395" t="s">
        <v>274</v>
      </c>
      <c r="C816" s="389" t="s">
        <v>224</v>
      </c>
      <c r="D816" s="397" t="e">
        <f>SUM(D814:D815)</f>
        <v>#N/A</v>
      </c>
      <c r="E816" s="391" t="e">
        <f>VLOOKUP($F$33,таблица,71,0)</f>
        <v>#N/A</v>
      </c>
      <c r="K816" s="365" t="e">
        <f t="shared" si="143"/>
        <v>#N/A</v>
      </c>
    </row>
    <row r="817" spans="1:11" ht="31.5" hidden="1" x14ac:dyDescent="0.25">
      <c r="A817" s="389" t="e">
        <f>IF(D817=0,0,IF(D816=0,IF(D812=0,A808+1,A812+1),A816+1))</f>
        <v>#N/A</v>
      </c>
      <c r="B817" s="395" t="s">
        <v>349</v>
      </c>
      <c r="C817" s="389" t="s">
        <v>224</v>
      </c>
      <c r="D817" s="394" t="e">
        <f>VLOOKUP($F$33,таблица,36,0)-VLOOKUP($F$33,таблица,41,0)+D812</f>
        <v>#N/A</v>
      </c>
      <c r="K817" s="365" t="e">
        <f t="shared" si="143"/>
        <v>#N/A</v>
      </c>
    </row>
    <row r="818" spans="1:11" hidden="1" x14ac:dyDescent="0.25">
      <c r="A818" s="389" t="e">
        <f>IF(D818=0,0,A817+1)</f>
        <v>#N/A</v>
      </c>
      <c r="B818" s="395" t="s">
        <v>227</v>
      </c>
      <c r="C818" s="389" t="s">
        <v>224</v>
      </c>
      <c r="D818" s="394" t="e">
        <f>VLOOKUP($F$33,таблица,61,0)</f>
        <v>#N/A</v>
      </c>
      <c r="K818" s="365" t="e">
        <f t="shared" si="143"/>
        <v>#N/A</v>
      </c>
    </row>
    <row r="819" spans="1:11" hidden="1" x14ac:dyDescent="0.25">
      <c r="A819" s="389" t="e">
        <f>IF(D819=0,0,A818+1)</f>
        <v>#N/A</v>
      </c>
      <c r="B819" s="395" t="s">
        <v>350</v>
      </c>
      <c r="C819" s="389" t="s">
        <v>224</v>
      </c>
      <c r="D819" s="397" t="e">
        <f>SUM(D817:D818)</f>
        <v>#N/A</v>
      </c>
      <c r="E819" s="391" t="e">
        <f>VLOOKUP($F$33,таблица,72,0)</f>
        <v>#N/A</v>
      </c>
      <c r="K819" s="365" t="e">
        <f t="shared" si="143"/>
        <v>#N/A</v>
      </c>
    </row>
    <row r="820" spans="1:11" hidden="1" x14ac:dyDescent="0.25">
      <c r="A820" s="389" t="e">
        <f>IF(D820=0,0,A819+1)</f>
        <v>#N/A</v>
      </c>
      <c r="B820" s="395" t="s">
        <v>226</v>
      </c>
      <c r="C820" s="389" t="s">
        <v>224</v>
      </c>
      <c r="D820" s="397" t="e">
        <f>IF(OR(D816=0,D819=0),0,D819+D816)</f>
        <v>#N/A</v>
      </c>
      <c r="E820" s="391" t="e">
        <f>VLOOKUP($F$33,таблица,62,0)</f>
        <v>#N/A</v>
      </c>
      <c r="K820" s="365" t="e">
        <f t="shared" si="143"/>
        <v>#N/A</v>
      </c>
    </row>
    <row r="821" spans="1:11" hidden="1" x14ac:dyDescent="0.25">
      <c r="A821" s="400"/>
      <c r="B821" s="400"/>
      <c r="C821" s="400"/>
      <c r="D821" s="401"/>
      <c r="K821" s="365" t="str">
        <f>IF($F$33=0,"",1)</f>
        <v/>
      </c>
    </row>
    <row r="822" spans="1:11" ht="47.25" hidden="1" customHeight="1" x14ac:dyDescent="0.25">
      <c r="A822" s="465" t="str">
        <f>'Анализ стоимости'!$I$58</f>
        <v>Начальник финансового отдела</v>
      </c>
      <c r="B822" s="466"/>
      <c r="C822" s="402"/>
      <c r="D822" s="403" t="str">
        <f>'Анализ стоимости'!$I$59</f>
        <v>А.Ю.Кашуба</v>
      </c>
      <c r="H822" s="405" t="str">
        <f>A822</f>
        <v>Начальник финансового отдела</v>
      </c>
      <c r="K822" s="365" t="str">
        <f>IF($F$33=0,"",1)</f>
        <v/>
      </c>
    </row>
    <row r="823" spans="1:11" hidden="1" x14ac:dyDescent="0.25">
      <c r="A823" s="407"/>
      <c r="B823" s="407"/>
      <c r="C823" s="407"/>
      <c r="D823" s="408"/>
      <c r="K823" s="365" t="str">
        <f>IF($F$33=0,"",1)</f>
        <v/>
      </c>
    </row>
    <row r="824" spans="1:11" hidden="1" x14ac:dyDescent="0.25">
      <c r="A824" s="462">
        <f ca="1">TODAY()</f>
        <v>42101</v>
      </c>
      <c r="B824" s="462"/>
      <c r="C824" s="371"/>
      <c r="D824" s="371"/>
      <c r="K824" s="365" t="str">
        <f>IF($F$33=0,"",1)</f>
        <v/>
      </c>
    </row>
    <row r="825" spans="1:11" hidden="1" x14ac:dyDescent="0.25">
      <c r="A825" s="463" t="s">
        <v>266</v>
      </c>
      <c r="B825" s="463"/>
      <c r="C825" s="463"/>
      <c r="D825" s="463"/>
      <c r="H825" s="369"/>
      <c r="I825" s="369"/>
      <c r="K825" s="365" t="str">
        <f t="shared" ref="K825:K842" si="144">IF($F$34=0,"",1)</f>
        <v/>
      </c>
    </row>
    <row r="826" spans="1:11" ht="47.25" hidden="1" customHeight="1" x14ac:dyDescent="0.2">
      <c r="A826" s="458" t="e">
        <f>CONCATENATE("Наименование объекта: ",VLOOKUP($F$34,таблица,9,0))</f>
        <v>#N/A</v>
      </c>
      <c r="B826" s="458"/>
      <c r="C826" s="458"/>
      <c r="D826" s="458"/>
      <c r="J826" s="414" t="e">
        <f>A826</f>
        <v>#N/A</v>
      </c>
      <c r="K826" s="365" t="str">
        <f t="shared" si="144"/>
        <v/>
      </c>
    </row>
    <row r="827" spans="1:11" hidden="1" x14ac:dyDescent="0.25">
      <c r="A827" s="383"/>
      <c r="B827" s="372"/>
      <c r="C827" s="372"/>
      <c r="D827" s="372"/>
      <c r="K827" s="365" t="str">
        <f t="shared" si="144"/>
        <v/>
      </c>
    </row>
    <row r="828" spans="1:11" hidden="1" x14ac:dyDescent="0.25">
      <c r="A828" s="415" t="s">
        <v>218</v>
      </c>
      <c r="B828" s="378"/>
      <c r="C828" s="378"/>
      <c r="D828" s="378"/>
      <c r="K828" s="365" t="str">
        <f t="shared" si="144"/>
        <v/>
      </c>
    </row>
    <row r="829" spans="1:11" hidden="1" x14ac:dyDescent="0.25">
      <c r="A829" s="459" t="s">
        <v>219</v>
      </c>
      <c r="B829" s="459"/>
      <c r="C829" s="459"/>
      <c r="D829" s="459"/>
      <c r="K829" s="365" t="str">
        <f t="shared" si="144"/>
        <v/>
      </c>
    </row>
    <row r="830" spans="1:11" ht="31.5" hidden="1" x14ac:dyDescent="0.25">
      <c r="A830" s="385" t="s">
        <v>111</v>
      </c>
      <c r="B830" s="385" t="s">
        <v>167</v>
      </c>
      <c r="C830" s="460" t="e">
        <f>CONCATENATE("Стоимость  согласно сметной документации (руб.) в текущих ценах по состоянию на ",VLOOKUP($F$34,таблица,5,0)," г.")</f>
        <v>#N/A</v>
      </c>
      <c r="D830" s="461"/>
      <c r="I830" s="386" t="e">
        <f>C830</f>
        <v>#N/A</v>
      </c>
      <c r="K830" s="365" t="str">
        <f t="shared" si="144"/>
        <v/>
      </c>
    </row>
    <row r="831" spans="1:11" hidden="1" x14ac:dyDescent="0.25">
      <c r="A831" s="389">
        <v>1</v>
      </c>
      <c r="B831" s="390" t="s">
        <v>68</v>
      </c>
      <c r="C831" s="455" t="e">
        <f>VLOOKUP($F$34,таблица,10,0)</f>
        <v>#N/A</v>
      </c>
      <c r="D831" s="456"/>
      <c r="K831" s="365" t="str">
        <f t="shared" si="144"/>
        <v/>
      </c>
    </row>
    <row r="832" spans="1:11" hidden="1" x14ac:dyDescent="0.25">
      <c r="A832" s="389">
        <v>2</v>
      </c>
      <c r="B832" s="390" t="s">
        <v>58</v>
      </c>
      <c r="C832" s="455" t="e">
        <f>VLOOKUP($F$34,таблица,11,0)</f>
        <v>#N/A</v>
      </c>
      <c r="D832" s="456"/>
      <c r="K832" s="365" t="str">
        <f t="shared" si="144"/>
        <v/>
      </c>
    </row>
    <row r="833" spans="1:11" ht="31.5" hidden="1" x14ac:dyDescent="0.25">
      <c r="A833" s="389">
        <v>3</v>
      </c>
      <c r="B833" s="390" t="s">
        <v>8</v>
      </c>
      <c r="C833" s="455" t="e">
        <f>VLOOKUP($F$34,таблица,12,0)</f>
        <v>#N/A</v>
      </c>
      <c r="D833" s="456"/>
      <c r="K833" s="365" t="str">
        <f t="shared" si="144"/>
        <v/>
      </c>
    </row>
    <row r="834" spans="1:11" hidden="1" x14ac:dyDescent="0.25">
      <c r="A834" s="389">
        <v>4</v>
      </c>
      <c r="B834" s="390" t="s">
        <v>59</v>
      </c>
      <c r="C834" s="455" t="e">
        <f>VLOOKUP($F$34,таблица,13,0)</f>
        <v>#N/A</v>
      </c>
      <c r="D834" s="456"/>
      <c r="K834" s="365" t="str">
        <f t="shared" si="144"/>
        <v/>
      </c>
    </row>
    <row r="835" spans="1:11" hidden="1" x14ac:dyDescent="0.25">
      <c r="A835" s="389">
        <v>5</v>
      </c>
      <c r="B835" s="390" t="s">
        <v>14</v>
      </c>
      <c r="C835" s="455" t="e">
        <f>VLOOKUP($F$34,таблица,14,0)</f>
        <v>#N/A</v>
      </c>
      <c r="D835" s="456"/>
      <c r="K835" s="365" t="str">
        <f t="shared" si="144"/>
        <v/>
      </c>
    </row>
    <row r="836" spans="1:11" hidden="1" x14ac:dyDescent="0.25">
      <c r="A836" s="389">
        <v>6</v>
      </c>
      <c r="B836" s="390" t="s">
        <v>23</v>
      </c>
      <c r="C836" s="455" t="e">
        <f>VLOOKUP($F$34,таблица,18,0)</f>
        <v>#N/A</v>
      </c>
      <c r="D836" s="456"/>
      <c r="K836" s="365" t="str">
        <f t="shared" si="144"/>
        <v/>
      </c>
    </row>
    <row r="837" spans="1:11" hidden="1" x14ac:dyDescent="0.25">
      <c r="A837" s="389">
        <v>7</v>
      </c>
      <c r="B837" s="390" t="s">
        <v>156</v>
      </c>
      <c r="C837" s="455" t="e">
        <f>VLOOKUP($F$34,таблица,19,0)+VLOOKUP($F$34,таблица,21,0)+VLOOKUP($F$34,таблица,22,0)+VLOOKUP($F$34,таблица,23,0)+VLOOKUP($F$34,таблица,24,0)+VLOOKUP($F$34,таблица,25,0)+VLOOKUP($F$34,таблица,26,0)</f>
        <v>#N/A</v>
      </c>
      <c r="D837" s="456"/>
      <c r="K837" s="365" t="str">
        <f t="shared" si="144"/>
        <v/>
      </c>
    </row>
    <row r="838" spans="1:11" hidden="1" x14ac:dyDescent="0.25">
      <c r="A838" s="389">
        <v>8</v>
      </c>
      <c r="B838" s="390" t="s">
        <v>101</v>
      </c>
      <c r="C838" s="455" t="e">
        <f>VLOOKUP($F$34,таблица,31,0)</f>
        <v>#N/A</v>
      </c>
      <c r="D838" s="456"/>
      <c r="K838" s="365" t="str">
        <f t="shared" si="144"/>
        <v/>
      </c>
    </row>
    <row r="839" spans="1:11" hidden="1" x14ac:dyDescent="0.25">
      <c r="A839" s="389">
        <v>9</v>
      </c>
      <c r="B839" s="390" t="s">
        <v>241</v>
      </c>
      <c r="C839" s="455" t="e">
        <f>SUM(C831:D838)</f>
        <v>#N/A</v>
      </c>
      <c r="D839" s="456"/>
      <c r="K839" s="365" t="str">
        <f t="shared" si="144"/>
        <v/>
      </c>
    </row>
    <row r="840" spans="1:11" hidden="1" x14ac:dyDescent="0.25">
      <c r="A840" s="464" t="s">
        <v>231</v>
      </c>
      <c r="B840" s="464"/>
      <c r="C840" s="464"/>
      <c r="D840" s="464"/>
      <c r="K840" s="365" t="str">
        <f t="shared" si="144"/>
        <v/>
      </c>
    </row>
    <row r="841" spans="1:11" ht="31.5" hidden="1" x14ac:dyDescent="0.25">
      <c r="A841" s="392" t="s">
        <v>111</v>
      </c>
      <c r="B841" s="385" t="s">
        <v>36</v>
      </c>
      <c r="C841" s="385" t="s">
        <v>221</v>
      </c>
      <c r="D841" s="385" t="s">
        <v>168</v>
      </c>
      <c r="K841" s="365" t="str">
        <f t="shared" si="144"/>
        <v/>
      </c>
    </row>
    <row r="842" spans="1:11" hidden="1" x14ac:dyDescent="0.25">
      <c r="A842" s="389">
        <v>10</v>
      </c>
      <c r="B842" s="389" t="e">
        <f>VLOOKUP((VLOOKUP($F$34,таблица,8,0)),рем_содер,2,0)</f>
        <v>#N/A</v>
      </c>
      <c r="C842" s="389"/>
      <c r="D842" s="390"/>
      <c r="K842" s="365" t="str">
        <f t="shared" si="144"/>
        <v/>
      </c>
    </row>
    <row r="843" spans="1:11" hidden="1" x14ac:dyDescent="0.25">
      <c r="A843" s="389" t="e">
        <f>IF(D843=0,0,A842+1)</f>
        <v>#N/A</v>
      </c>
      <c r="B843" s="390" t="e">
        <f>CONCATENATE("2015 г. (",CHOOSE(VLOOKUP(F$34,таблица,63,0),"Январь","Февраль","Март","Апрель","Май","Июнь","Июль","Август","Сентябрь","Октябрь","Ноябрь","Декабрь")," - ",CHOOSE(VLOOKUP(F$34,таблица,64,0),"Январь","Февраль","Март","Апрель","Май","Июнь","Июль","Август","Сентябрь","Октябрь","Ноябрь","Декабрь"),")")</f>
        <v>#N/A</v>
      </c>
      <c r="C843" s="389" t="s">
        <v>222</v>
      </c>
      <c r="D843" s="417" t="e">
        <f>IF(D845=0,0,VLOOKUP($F$34,таблица,69,0)*100+100)</f>
        <v>#N/A</v>
      </c>
      <c r="K843" s="365" t="e">
        <f>IF(D843=0,"",1)</f>
        <v>#N/A</v>
      </c>
    </row>
    <row r="844" spans="1:11" hidden="1" x14ac:dyDescent="0.25">
      <c r="A844" s="389" t="e">
        <f>IF(D844=0,0,IF(D843=0,A842+1,A843+1))</f>
        <v>#N/A</v>
      </c>
      <c r="B844" s="390" t="e">
        <f>CONCATENATE("2016 г. (",CHOOSE(VLOOKUP(F$34,таблица,65,0),"Январь","Февраль","Март","Апрель","Май","Июнь","Июль","Август","Сентябрь","Октябрь","Ноябрь","Декабрь")," - ",CHOOSE(VLOOKUP(F$34,таблица,66,0),"Январь","Февраль","Март","Апрель","Май","Июнь","Июль","Август","Сентябрь","Октябрь","Ноябрь","Декабрь"),")")</f>
        <v>#N/A</v>
      </c>
      <c r="C844" s="389" t="s">
        <v>222</v>
      </c>
      <c r="D844" s="417" t="e">
        <f>IF(D846=0,0,VLOOKUP($F$34,таблица,70,0)*100+100)</f>
        <v>#N/A</v>
      </c>
      <c r="K844" s="365" t="e">
        <f t="shared" ref="K844:K845" si="145">IF(D844=0,"",1)</f>
        <v>#N/A</v>
      </c>
    </row>
    <row r="845" spans="1:11" hidden="1" x14ac:dyDescent="0.25">
      <c r="A845" s="389" t="e">
        <f>IF(D845=0,0,IF(D844=0,A843+1,A844+1))</f>
        <v>#N/A</v>
      </c>
      <c r="B845" s="390" t="s">
        <v>223</v>
      </c>
      <c r="C845" s="389" t="s">
        <v>224</v>
      </c>
      <c r="D845" s="394" t="e">
        <f>VLOOKUP($F$34,таблица,46,0)</f>
        <v>#N/A</v>
      </c>
      <c r="K845" s="365" t="e">
        <f t="shared" si="145"/>
        <v>#N/A</v>
      </c>
    </row>
    <row r="846" spans="1:11" hidden="1" x14ac:dyDescent="0.25">
      <c r="A846" s="389" t="e">
        <f>IF(D846=0,0,IF(D845=0,A844+1,A845+1))</f>
        <v>#N/A</v>
      </c>
      <c r="B846" s="390" t="s">
        <v>351</v>
      </c>
      <c r="C846" s="389" t="s">
        <v>224</v>
      </c>
      <c r="D846" s="394" t="e">
        <f>VLOOKUP($F$34,таблица,56,0)</f>
        <v>#N/A</v>
      </c>
      <c r="K846" s="365" t="e">
        <f>IF(D846=0,"",1)</f>
        <v>#N/A</v>
      </c>
    </row>
    <row r="847" spans="1:11" hidden="1" x14ac:dyDescent="0.25">
      <c r="A847" s="464" t="s">
        <v>225</v>
      </c>
      <c r="B847" s="464"/>
      <c r="C847" s="464"/>
      <c r="D847" s="464"/>
      <c r="K847" s="365" t="str">
        <f>IF($F$34=0,"",1)</f>
        <v/>
      </c>
    </row>
    <row r="848" spans="1:11" ht="31.5" hidden="1" x14ac:dyDescent="0.25">
      <c r="A848" s="389" t="e">
        <f>IF(D848=0,0,IF(D846=0,IF(D845=0,A842+1,A845+1),A846+1))</f>
        <v>#N/A</v>
      </c>
      <c r="B848" s="395" t="s">
        <v>275</v>
      </c>
      <c r="C848" s="389" t="s">
        <v>224</v>
      </c>
      <c r="D848" s="394" t="e">
        <f>SUM(VLOOKUP($F$34,таблица,41,0),D845)</f>
        <v>#N/A</v>
      </c>
      <c r="E848" s="365"/>
      <c r="K848" s="365" t="e">
        <f t="shared" ref="K848:K854" si="146">IF(D848=0,"",1)</f>
        <v>#N/A</v>
      </c>
    </row>
    <row r="849" spans="1:11" hidden="1" x14ac:dyDescent="0.25">
      <c r="A849" s="389" t="e">
        <f>IF(D849=0,0,A848+1)</f>
        <v>#N/A</v>
      </c>
      <c r="B849" s="395" t="s">
        <v>227</v>
      </c>
      <c r="C849" s="389" t="s">
        <v>224</v>
      </c>
      <c r="D849" s="394" t="e">
        <f>VLOOKUP($F$34,таблица,51,0)</f>
        <v>#N/A</v>
      </c>
      <c r="E849" s="365"/>
      <c r="K849" s="365" t="e">
        <f t="shared" si="146"/>
        <v>#N/A</v>
      </c>
    </row>
    <row r="850" spans="1:11" hidden="1" x14ac:dyDescent="0.25">
      <c r="A850" s="389" t="e">
        <f>IF(D850=0,0,A849+1)</f>
        <v>#N/A</v>
      </c>
      <c r="B850" s="395" t="s">
        <v>274</v>
      </c>
      <c r="C850" s="389" t="s">
        <v>224</v>
      </c>
      <c r="D850" s="397" t="e">
        <f>SUM(D848:D849)</f>
        <v>#N/A</v>
      </c>
      <c r="E850" s="391" t="e">
        <f>VLOOKUP($F$34,таблица,71,0)</f>
        <v>#N/A</v>
      </c>
      <c r="K850" s="365" t="e">
        <f t="shared" si="146"/>
        <v>#N/A</v>
      </c>
    </row>
    <row r="851" spans="1:11" ht="31.5" hidden="1" x14ac:dyDescent="0.25">
      <c r="A851" s="389" t="e">
        <f>IF(D851=0,0,IF(D850=0,IF(D846=0,A842+1,A846+1),A850+1))</f>
        <v>#N/A</v>
      </c>
      <c r="B851" s="395" t="s">
        <v>349</v>
      </c>
      <c r="C851" s="389" t="s">
        <v>224</v>
      </c>
      <c r="D851" s="394" t="e">
        <f>VLOOKUP($F$34,таблица,36,0)-VLOOKUP($F$34,таблица,41,0)+D846</f>
        <v>#N/A</v>
      </c>
      <c r="K851" s="365" t="e">
        <f t="shared" si="146"/>
        <v>#N/A</v>
      </c>
    </row>
    <row r="852" spans="1:11" hidden="1" x14ac:dyDescent="0.25">
      <c r="A852" s="389" t="e">
        <f>IF(D852=0,0,A851+1)</f>
        <v>#N/A</v>
      </c>
      <c r="B852" s="395" t="s">
        <v>227</v>
      </c>
      <c r="C852" s="389" t="s">
        <v>224</v>
      </c>
      <c r="D852" s="394" t="e">
        <f>VLOOKUP($F$34,таблица,61,0)</f>
        <v>#N/A</v>
      </c>
      <c r="K852" s="365" t="e">
        <f t="shared" si="146"/>
        <v>#N/A</v>
      </c>
    </row>
    <row r="853" spans="1:11" hidden="1" x14ac:dyDescent="0.25">
      <c r="A853" s="389" t="e">
        <f>IF(D853=0,0,A852+1)</f>
        <v>#N/A</v>
      </c>
      <c r="B853" s="395" t="s">
        <v>350</v>
      </c>
      <c r="C853" s="389" t="s">
        <v>224</v>
      </c>
      <c r="D853" s="397" t="e">
        <f>SUM(D851:D852)</f>
        <v>#N/A</v>
      </c>
      <c r="E853" s="391" t="e">
        <f>VLOOKUP($F$34,таблица,72,0)</f>
        <v>#N/A</v>
      </c>
      <c r="K853" s="365" t="e">
        <f t="shared" si="146"/>
        <v>#N/A</v>
      </c>
    </row>
    <row r="854" spans="1:11" hidden="1" x14ac:dyDescent="0.25">
      <c r="A854" s="389" t="e">
        <f>IF(D854=0,0,A853+1)</f>
        <v>#N/A</v>
      </c>
      <c r="B854" s="395" t="s">
        <v>226</v>
      </c>
      <c r="C854" s="389" t="s">
        <v>224</v>
      </c>
      <c r="D854" s="397" t="e">
        <f>IF(OR(D850=0,D853=0),0,D853+D850)</f>
        <v>#N/A</v>
      </c>
      <c r="E854" s="391" t="e">
        <f>VLOOKUP($F$34,таблица,62,0)</f>
        <v>#N/A</v>
      </c>
      <c r="K854" s="365" t="e">
        <f t="shared" si="146"/>
        <v>#N/A</v>
      </c>
    </row>
    <row r="855" spans="1:11" hidden="1" x14ac:dyDescent="0.25">
      <c r="A855" s="400"/>
      <c r="B855" s="400"/>
      <c r="C855" s="400"/>
      <c r="D855" s="401"/>
      <c r="K855" s="365" t="str">
        <f>IF($F$34=0,"",1)</f>
        <v/>
      </c>
    </row>
    <row r="856" spans="1:11" ht="47.25" hidden="1" customHeight="1" x14ac:dyDescent="0.25">
      <c r="A856" s="465" t="str">
        <f>'Анализ стоимости'!$I$58</f>
        <v>Начальник финансового отдела</v>
      </c>
      <c r="B856" s="466"/>
      <c r="C856" s="402"/>
      <c r="D856" s="403" t="str">
        <f>'Анализ стоимости'!$I$59</f>
        <v>А.Ю.Кашуба</v>
      </c>
      <c r="H856" s="405" t="str">
        <f>A856</f>
        <v>Начальник финансового отдела</v>
      </c>
      <c r="K856" s="365" t="str">
        <f>IF($F$34=0,"",1)</f>
        <v/>
      </c>
    </row>
    <row r="857" spans="1:11" hidden="1" x14ac:dyDescent="0.25">
      <c r="A857" s="407"/>
      <c r="B857" s="407"/>
      <c r="C857" s="407"/>
      <c r="D857" s="418"/>
      <c r="K857" s="365" t="str">
        <f>IF($F$34=0,"",1)</f>
        <v/>
      </c>
    </row>
    <row r="858" spans="1:11" hidden="1" x14ac:dyDescent="0.25">
      <c r="A858" s="462">
        <f ca="1">TODAY()</f>
        <v>42101</v>
      </c>
      <c r="B858" s="462"/>
      <c r="C858" s="371"/>
      <c r="D858" s="371"/>
      <c r="K858" s="365" t="str">
        <f>IF($F$34=0,"",1)</f>
        <v/>
      </c>
    </row>
    <row r="859" spans="1:11" s="371" customFormat="1" hidden="1" x14ac:dyDescent="0.25">
      <c r="A859" s="463" t="s">
        <v>303</v>
      </c>
      <c r="B859" s="463"/>
      <c r="C859" s="463"/>
      <c r="D859" s="463"/>
      <c r="E859" s="413"/>
      <c r="H859" s="369"/>
      <c r="I859" s="369"/>
      <c r="J859" s="357"/>
      <c r="K859" s="365" t="str">
        <f t="shared" ref="K859:K876" si="147">IF($F$35=0,"",1)</f>
        <v/>
      </c>
    </row>
    <row r="860" spans="1:11" ht="47.25" hidden="1" customHeight="1" x14ac:dyDescent="0.2">
      <c r="A860" s="458" t="e">
        <f>CONCATENATE("Наименование объекта: ",VLOOKUP($F$35,таблица,9,0))</f>
        <v>#N/A</v>
      </c>
      <c r="B860" s="458"/>
      <c r="C860" s="458"/>
      <c r="D860" s="458"/>
      <c r="J860" s="414" t="e">
        <f>A860</f>
        <v>#N/A</v>
      </c>
      <c r="K860" s="365" t="str">
        <f t="shared" si="147"/>
        <v/>
      </c>
    </row>
    <row r="861" spans="1:11" ht="13.5" hidden="1" customHeight="1" x14ac:dyDescent="0.25">
      <c r="A861" s="383"/>
      <c r="B861" s="372"/>
      <c r="C861" s="372"/>
      <c r="D861" s="372"/>
      <c r="K861" s="365" t="str">
        <f t="shared" si="147"/>
        <v/>
      </c>
    </row>
    <row r="862" spans="1:11" hidden="1" x14ac:dyDescent="0.25">
      <c r="A862" s="415" t="s">
        <v>218</v>
      </c>
      <c r="B862" s="378"/>
      <c r="C862" s="378"/>
      <c r="D862" s="378"/>
      <c r="K862" s="365" t="str">
        <f t="shared" si="147"/>
        <v/>
      </c>
    </row>
    <row r="863" spans="1:11" hidden="1" x14ac:dyDescent="0.25">
      <c r="A863" s="459" t="s">
        <v>219</v>
      </c>
      <c r="B863" s="459"/>
      <c r="C863" s="459"/>
      <c r="D863" s="459"/>
      <c r="K863" s="365" t="str">
        <f t="shared" si="147"/>
        <v/>
      </c>
    </row>
    <row r="864" spans="1:11" ht="31.5" hidden="1" x14ac:dyDescent="0.25">
      <c r="A864" s="385" t="s">
        <v>111</v>
      </c>
      <c r="B864" s="385" t="s">
        <v>167</v>
      </c>
      <c r="C864" s="460" t="e">
        <f>CONCATENATE("Стоимость  согласно сметной документации (руб.) в текущих ценах по состоянию на ",VLOOKUP($F$35,таблица,5,0)," г.")</f>
        <v>#N/A</v>
      </c>
      <c r="D864" s="461"/>
      <c r="I864" s="386" t="e">
        <f>C864</f>
        <v>#N/A</v>
      </c>
      <c r="K864" s="365" t="str">
        <f t="shared" si="147"/>
        <v/>
      </c>
    </row>
    <row r="865" spans="1:11" hidden="1" x14ac:dyDescent="0.25">
      <c r="A865" s="389">
        <v>1</v>
      </c>
      <c r="B865" s="390" t="s">
        <v>68</v>
      </c>
      <c r="C865" s="455" t="e">
        <f>VLOOKUP($F$35,таблица,10,0)</f>
        <v>#N/A</v>
      </c>
      <c r="D865" s="456"/>
      <c r="K865" s="365" t="str">
        <f t="shared" si="147"/>
        <v/>
      </c>
    </row>
    <row r="866" spans="1:11" hidden="1" x14ac:dyDescent="0.25">
      <c r="A866" s="389">
        <v>2</v>
      </c>
      <c r="B866" s="390" t="s">
        <v>58</v>
      </c>
      <c r="C866" s="455" t="e">
        <f>VLOOKUP($F$35,таблица,11,0)</f>
        <v>#N/A</v>
      </c>
      <c r="D866" s="456"/>
      <c r="K866" s="365" t="str">
        <f t="shared" si="147"/>
        <v/>
      </c>
    </row>
    <row r="867" spans="1:11" ht="31.5" hidden="1" x14ac:dyDescent="0.25">
      <c r="A867" s="389">
        <v>3</v>
      </c>
      <c r="B867" s="390" t="s">
        <v>8</v>
      </c>
      <c r="C867" s="455" t="e">
        <f>VLOOKUP($F$35,таблица,12,0)</f>
        <v>#N/A</v>
      </c>
      <c r="D867" s="456"/>
      <c r="K867" s="365" t="str">
        <f t="shared" si="147"/>
        <v/>
      </c>
    </row>
    <row r="868" spans="1:11" hidden="1" x14ac:dyDescent="0.25">
      <c r="A868" s="389">
        <v>4</v>
      </c>
      <c r="B868" s="390" t="s">
        <v>59</v>
      </c>
      <c r="C868" s="455" t="e">
        <f>VLOOKUP($F$35,таблица,13,0)</f>
        <v>#N/A</v>
      </c>
      <c r="D868" s="456"/>
      <c r="K868" s="365" t="str">
        <f t="shared" si="147"/>
        <v/>
      </c>
    </row>
    <row r="869" spans="1:11" hidden="1" x14ac:dyDescent="0.25">
      <c r="A869" s="389">
        <v>5</v>
      </c>
      <c r="B869" s="390" t="s">
        <v>14</v>
      </c>
      <c r="C869" s="455" t="e">
        <f>VLOOKUP($F$35,таблица,14,0)</f>
        <v>#N/A</v>
      </c>
      <c r="D869" s="456"/>
      <c r="K869" s="365" t="str">
        <f t="shared" si="147"/>
        <v/>
      </c>
    </row>
    <row r="870" spans="1:11" hidden="1" x14ac:dyDescent="0.25">
      <c r="A870" s="389">
        <v>6</v>
      </c>
      <c r="B870" s="390" t="s">
        <v>23</v>
      </c>
      <c r="C870" s="455" t="e">
        <f>VLOOKUP($F$35,таблица,18,0)</f>
        <v>#N/A</v>
      </c>
      <c r="D870" s="456"/>
      <c r="K870" s="365" t="str">
        <f t="shared" si="147"/>
        <v/>
      </c>
    </row>
    <row r="871" spans="1:11" hidden="1" x14ac:dyDescent="0.25">
      <c r="A871" s="389">
        <v>7</v>
      </c>
      <c r="B871" s="390" t="s">
        <v>156</v>
      </c>
      <c r="C871" s="455" t="e">
        <f>VLOOKUP($F$35,таблица,19,0)+VLOOKUP($F$35,таблица,21,0)+VLOOKUP($F$35,таблица,22,0)+VLOOKUP($F$35,таблица,23,0)+VLOOKUP($F$35,таблица,24,0)+VLOOKUP($F$35,таблица,25,0)+VLOOKUP($F$35,таблица,26,0)</f>
        <v>#N/A</v>
      </c>
      <c r="D871" s="456"/>
      <c r="K871" s="365" t="str">
        <f t="shared" si="147"/>
        <v/>
      </c>
    </row>
    <row r="872" spans="1:11" hidden="1" x14ac:dyDescent="0.25">
      <c r="A872" s="389">
        <v>8</v>
      </c>
      <c r="B872" s="390" t="s">
        <v>101</v>
      </c>
      <c r="C872" s="455" t="e">
        <f>VLOOKUP($F$35,таблица,31,0)</f>
        <v>#N/A</v>
      </c>
      <c r="D872" s="456"/>
      <c r="K872" s="365" t="str">
        <f t="shared" si="147"/>
        <v/>
      </c>
    </row>
    <row r="873" spans="1:11" hidden="1" x14ac:dyDescent="0.25">
      <c r="A873" s="389">
        <v>9</v>
      </c>
      <c r="B873" s="390" t="s">
        <v>241</v>
      </c>
      <c r="C873" s="455" t="e">
        <f>SUM(C865:D872)</f>
        <v>#N/A</v>
      </c>
      <c r="D873" s="456"/>
      <c r="K873" s="365" t="str">
        <f t="shared" si="147"/>
        <v/>
      </c>
    </row>
    <row r="874" spans="1:11" hidden="1" x14ac:dyDescent="0.25">
      <c r="A874" s="464" t="s">
        <v>231</v>
      </c>
      <c r="B874" s="464"/>
      <c r="C874" s="464"/>
      <c r="D874" s="464"/>
      <c r="K874" s="365" t="str">
        <f t="shared" si="147"/>
        <v/>
      </c>
    </row>
    <row r="875" spans="1:11" ht="31.5" hidden="1" x14ac:dyDescent="0.25">
      <c r="A875" s="392" t="s">
        <v>111</v>
      </c>
      <c r="B875" s="385" t="s">
        <v>36</v>
      </c>
      <c r="C875" s="385" t="s">
        <v>221</v>
      </c>
      <c r="D875" s="385" t="s">
        <v>168</v>
      </c>
      <c r="K875" s="365" t="str">
        <f t="shared" si="147"/>
        <v/>
      </c>
    </row>
    <row r="876" spans="1:11" hidden="1" x14ac:dyDescent="0.25">
      <c r="A876" s="389">
        <v>10</v>
      </c>
      <c r="B876" s="389" t="e">
        <f>VLOOKUP((VLOOKUP($F$35,таблица,8,0)),рем_содер,2,0)</f>
        <v>#N/A</v>
      </c>
      <c r="C876" s="389"/>
      <c r="D876" s="390"/>
      <c r="K876" s="365" t="str">
        <f t="shared" si="147"/>
        <v/>
      </c>
    </row>
    <row r="877" spans="1:11" hidden="1" x14ac:dyDescent="0.25">
      <c r="A877" s="389" t="e">
        <f>IF(D877=0,0,A876+1)</f>
        <v>#N/A</v>
      </c>
      <c r="B877" s="390" t="e">
        <f>CONCATENATE("2015 г. (",CHOOSE(VLOOKUP(F$35,таблица,63,0),"Январь","Февраль","Март","Апрель","Май","Июнь","Июль","Август","Сентябрь","Октябрь","Ноябрь","Декабрь")," - ",CHOOSE(VLOOKUP(F$35,таблица,64,0),"Январь","Февраль","Март","Апрель","Май","Июнь","Июль","Август","Сентябрь","Октябрь","Ноябрь","Декабрь"),")")</f>
        <v>#N/A</v>
      </c>
      <c r="C877" s="389" t="s">
        <v>222</v>
      </c>
      <c r="D877" s="417" t="e">
        <f>IF(D879=0,0,VLOOKUP($F$35,таблица,69,0)*100+100)</f>
        <v>#N/A</v>
      </c>
      <c r="K877" s="365" t="e">
        <f>IF(D877=0,"",1)</f>
        <v>#N/A</v>
      </c>
    </row>
    <row r="878" spans="1:11" hidden="1" x14ac:dyDescent="0.25">
      <c r="A878" s="389" t="e">
        <f>IF(D878=0,0,IF(D877=0,A876+1,A877+1))</f>
        <v>#N/A</v>
      </c>
      <c r="B878" s="390" t="e">
        <f>CONCATENATE("2016 г. (",CHOOSE(VLOOKUP(F$35,таблица,65,0),"Январь","Февраль","Март","Апрель","Май","Июнь","Июль","Август","Сентябрь","Октябрь","Ноябрь","Декабрь")," - ",CHOOSE(VLOOKUP(F$35,таблица,66,0),"Январь","Февраль","Март","Апрель","Май","Июнь","Июль","Август","Сентябрь","Октябрь","Ноябрь","Декабрь"),")")</f>
        <v>#N/A</v>
      </c>
      <c r="C878" s="389" t="s">
        <v>222</v>
      </c>
      <c r="D878" s="417" t="e">
        <f>IF(D880=0,0,VLOOKUP($F$35,таблица,70,0)*100+100)</f>
        <v>#N/A</v>
      </c>
      <c r="K878" s="365" t="e">
        <f t="shared" ref="K878:K880" si="148">IF(D878=0,"",1)</f>
        <v>#N/A</v>
      </c>
    </row>
    <row r="879" spans="1:11" hidden="1" x14ac:dyDescent="0.25">
      <c r="A879" s="389" t="e">
        <f>IF(D879=0,0,IF(D878=0,A877+1,A878+1))</f>
        <v>#N/A</v>
      </c>
      <c r="B879" s="390" t="s">
        <v>223</v>
      </c>
      <c r="C879" s="389" t="s">
        <v>224</v>
      </c>
      <c r="D879" s="394" t="e">
        <f>VLOOKUP($F$35,таблица,46,0)</f>
        <v>#N/A</v>
      </c>
      <c r="K879" s="365" t="e">
        <f t="shared" si="148"/>
        <v>#N/A</v>
      </c>
    </row>
    <row r="880" spans="1:11" hidden="1" x14ac:dyDescent="0.25">
      <c r="A880" s="389" t="e">
        <f>IF(D880=0,0,IF(D879=0,A878+1,A879+1))</f>
        <v>#N/A</v>
      </c>
      <c r="B880" s="390" t="s">
        <v>351</v>
      </c>
      <c r="C880" s="389" t="s">
        <v>224</v>
      </c>
      <c r="D880" s="394" t="e">
        <f>VLOOKUP($F$35,таблица,56,0)</f>
        <v>#N/A</v>
      </c>
      <c r="K880" s="365" t="e">
        <f t="shared" si="148"/>
        <v>#N/A</v>
      </c>
    </row>
    <row r="881" spans="1:11" hidden="1" x14ac:dyDescent="0.25">
      <c r="A881" s="464" t="s">
        <v>225</v>
      </c>
      <c r="B881" s="464"/>
      <c r="C881" s="464"/>
      <c r="D881" s="464"/>
      <c r="K881" s="365" t="str">
        <f>IF($F$35=0,"",1)</f>
        <v/>
      </c>
    </row>
    <row r="882" spans="1:11" ht="31.5" hidden="1" x14ac:dyDescent="0.25">
      <c r="A882" s="389" t="e">
        <f>IF(D882=0,0,IF(D880=0,IF(D879=0,A876+1,A879+1),A880+1))</f>
        <v>#N/A</v>
      </c>
      <c r="B882" s="395" t="s">
        <v>275</v>
      </c>
      <c r="C882" s="389" t="s">
        <v>224</v>
      </c>
      <c r="D882" s="394" t="e">
        <f>SUM(VLOOKUP($F$35,таблица,41,0),D879)</f>
        <v>#N/A</v>
      </c>
      <c r="E882" s="365"/>
      <c r="K882" s="365" t="e">
        <f t="shared" ref="K882:K888" si="149">IF(D882=0,"",1)</f>
        <v>#N/A</v>
      </c>
    </row>
    <row r="883" spans="1:11" hidden="1" x14ac:dyDescent="0.25">
      <c r="A883" s="389" t="e">
        <f>IF(D883=0,0,A882+1)</f>
        <v>#N/A</v>
      </c>
      <c r="B883" s="395" t="s">
        <v>227</v>
      </c>
      <c r="C883" s="389" t="s">
        <v>224</v>
      </c>
      <c r="D883" s="394" t="e">
        <f>VLOOKUP($F$35,таблица,51,0)</f>
        <v>#N/A</v>
      </c>
      <c r="E883" s="365"/>
      <c r="K883" s="365" t="e">
        <f t="shared" si="149"/>
        <v>#N/A</v>
      </c>
    </row>
    <row r="884" spans="1:11" hidden="1" x14ac:dyDescent="0.25">
      <c r="A884" s="389" t="e">
        <f>IF(D884=0,0,A883+1)</f>
        <v>#N/A</v>
      </c>
      <c r="B884" s="395" t="s">
        <v>274</v>
      </c>
      <c r="C884" s="389" t="s">
        <v>224</v>
      </c>
      <c r="D884" s="397" t="e">
        <f>SUM(D882:D883)</f>
        <v>#N/A</v>
      </c>
      <c r="E884" s="391" t="e">
        <f>VLOOKUP($F$35,таблица,71,0)</f>
        <v>#N/A</v>
      </c>
      <c r="K884" s="365" t="e">
        <f t="shared" si="149"/>
        <v>#N/A</v>
      </c>
    </row>
    <row r="885" spans="1:11" ht="31.5" hidden="1" x14ac:dyDescent="0.25">
      <c r="A885" s="389" t="e">
        <f>IF(D885=0,0,IF(D884=0,IF(D880=0,A876+1,A880+1),A884+1))</f>
        <v>#N/A</v>
      </c>
      <c r="B885" s="395" t="s">
        <v>349</v>
      </c>
      <c r="C885" s="389" t="s">
        <v>224</v>
      </c>
      <c r="D885" s="394" t="e">
        <f>VLOOKUP($F$35,таблица,36,0)-VLOOKUP($F$35,таблица,41,0)+D880</f>
        <v>#N/A</v>
      </c>
      <c r="K885" s="365" t="e">
        <f t="shared" si="149"/>
        <v>#N/A</v>
      </c>
    </row>
    <row r="886" spans="1:11" hidden="1" x14ac:dyDescent="0.25">
      <c r="A886" s="389" t="e">
        <f>IF(D886=0,0,A885+1)</f>
        <v>#N/A</v>
      </c>
      <c r="B886" s="395" t="s">
        <v>227</v>
      </c>
      <c r="C886" s="389" t="s">
        <v>224</v>
      </c>
      <c r="D886" s="394" t="e">
        <f>VLOOKUP($F$35,таблица,61,0)</f>
        <v>#N/A</v>
      </c>
      <c r="K886" s="365" t="e">
        <f t="shared" si="149"/>
        <v>#N/A</v>
      </c>
    </row>
    <row r="887" spans="1:11" hidden="1" x14ac:dyDescent="0.25">
      <c r="A887" s="389" t="e">
        <f>IF(D887=0,0,A886+1)</f>
        <v>#N/A</v>
      </c>
      <c r="B887" s="395" t="s">
        <v>350</v>
      </c>
      <c r="C887" s="389" t="s">
        <v>224</v>
      </c>
      <c r="D887" s="397" t="e">
        <f>SUM(D885:D886)</f>
        <v>#N/A</v>
      </c>
      <c r="E887" s="391" t="e">
        <f>VLOOKUP($F$35,таблица,72,0)</f>
        <v>#N/A</v>
      </c>
      <c r="K887" s="365" t="e">
        <f t="shared" si="149"/>
        <v>#N/A</v>
      </c>
    </row>
    <row r="888" spans="1:11" hidden="1" x14ac:dyDescent="0.25">
      <c r="A888" s="389" t="e">
        <f>IF(D888=0,0,A887+1)</f>
        <v>#N/A</v>
      </c>
      <c r="B888" s="395" t="s">
        <v>226</v>
      </c>
      <c r="C888" s="389" t="s">
        <v>224</v>
      </c>
      <c r="D888" s="397" t="e">
        <f>IF(OR(D884=0,D887=0),0,D887+D884)</f>
        <v>#N/A</v>
      </c>
      <c r="E888" s="391" t="e">
        <f>VLOOKUP($F$35,таблица,62,0)</f>
        <v>#N/A</v>
      </c>
      <c r="K888" s="365" t="e">
        <f t="shared" si="149"/>
        <v>#N/A</v>
      </c>
    </row>
    <row r="889" spans="1:11" hidden="1" x14ac:dyDescent="0.25">
      <c r="A889" s="400"/>
      <c r="B889" s="400"/>
      <c r="C889" s="400"/>
      <c r="D889" s="401"/>
      <c r="K889" s="365" t="str">
        <f>IF($F$35=0,"",1)</f>
        <v/>
      </c>
    </row>
    <row r="890" spans="1:11" ht="47.25" hidden="1" customHeight="1" x14ac:dyDescent="0.25">
      <c r="A890" s="465" t="str">
        <f>'Анализ стоимости'!$I$58</f>
        <v>Начальник финансового отдела</v>
      </c>
      <c r="B890" s="466"/>
      <c r="C890" s="402"/>
      <c r="D890" s="403" t="str">
        <f>'Анализ стоимости'!$I$59</f>
        <v>А.Ю.Кашуба</v>
      </c>
      <c r="H890" s="405" t="str">
        <f>A890</f>
        <v>Начальник финансового отдела</v>
      </c>
      <c r="K890" s="365" t="str">
        <f>IF($F$35=0,"",1)</f>
        <v/>
      </c>
    </row>
    <row r="891" spans="1:11" hidden="1" x14ac:dyDescent="0.25">
      <c r="A891" s="407"/>
      <c r="B891" s="407"/>
      <c r="C891" s="407"/>
      <c r="D891" s="408"/>
      <c r="K891" s="365" t="str">
        <f>IF($F$35=0,"",1)</f>
        <v/>
      </c>
    </row>
    <row r="892" spans="1:11" hidden="1" x14ac:dyDescent="0.25">
      <c r="A892" s="462">
        <f ca="1">TODAY()</f>
        <v>42101</v>
      </c>
      <c r="B892" s="462"/>
      <c r="C892" s="371"/>
      <c r="D892" s="371"/>
      <c r="K892" s="365" t="str">
        <f>IF($F$35=0,"",1)</f>
        <v/>
      </c>
    </row>
    <row r="893" spans="1:11" hidden="1" x14ac:dyDescent="0.25">
      <c r="A893" s="463" t="s">
        <v>304</v>
      </c>
      <c r="B893" s="463"/>
      <c r="C893" s="463"/>
      <c r="D893" s="463"/>
      <c r="H893" s="369"/>
      <c r="I893" s="369"/>
      <c r="K893" s="365" t="str">
        <f t="shared" ref="K893:K910" si="150">IF($F$36=0,"",1)</f>
        <v/>
      </c>
    </row>
    <row r="894" spans="1:11" ht="47.25" hidden="1" customHeight="1" x14ac:dyDescent="0.2">
      <c r="A894" s="458" t="e">
        <f>CONCATENATE("Наименование объекта: ",VLOOKUP($F$36,таблица,9,0))</f>
        <v>#N/A</v>
      </c>
      <c r="B894" s="458"/>
      <c r="C894" s="458"/>
      <c r="D894" s="458"/>
      <c r="J894" s="414" t="e">
        <f>A894</f>
        <v>#N/A</v>
      </c>
      <c r="K894" s="365" t="str">
        <f t="shared" si="150"/>
        <v/>
      </c>
    </row>
    <row r="895" spans="1:11" hidden="1" x14ac:dyDescent="0.25">
      <c r="A895" s="383"/>
      <c r="B895" s="372"/>
      <c r="C895" s="372"/>
      <c r="D895" s="372"/>
      <c r="K895" s="365" t="str">
        <f t="shared" si="150"/>
        <v/>
      </c>
    </row>
    <row r="896" spans="1:11" hidden="1" x14ac:dyDescent="0.25">
      <c r="A896" s="415" t="s">
        <v>218</v>
      </c>
      <c r="B896" s="378"/>
      <c r="C896" s="378"/>
      <c r="D896" s="378"/>
      <c r="K896" s="365" t="str">
        <f t="shared" si="150"/>
        <v/>
      </c>
    </row>
    <row r="897" spans="1:11" hidden="1" x14ac:dyDescent="0.25">
      <c r="A897" s="459" t="s">
        <v>219</v>
      </c>
      <c r="B897" s="459"/>
      <c r="C897" s="459"/>
      <c r="D897" s="459"/>
      <c r="K897" s="365" t="str">
        <f t="shared" si="150"/>
        <v/>
      </c>
    </row>
    <row r="898" spans="1:11" ht="31.5" hidden="1" x14ac:dyDescent="0.25">
      <c r="A898" s="385" t="s">
        <v>111</v>
      </c>
      <c r="B898" s="385" t="s">
        <v>167</v>
      </c>
      <c r="C898" s="460" t="e">
        <f>CONCATENATE("Стоимость  согласно сметной документации (руб.) в текущих ценах по состоянию на ",VLOOKUP($F$36,таблица,5,0)," г.")</f>
        <v>#N/A</v>
      </c>
      <c r="D898" s="461"/>
      <c r="I898" s="386" t="e">
        <f>C898</f>
        <v>#N/A</v>
      </c>
      <c r="K898" s="365" t="str">
        <f t="shared" si="150"/>
        <v/>
      </c>
    </row>
    <row r="899" spans="1:11" hidden="1" x14ac:dyDescent="0.25">
      <c r="A899" s="389">
        <v>1</v>
      </c>
      <c r="B899" s="390" t="s">
        <v>68</v>
      </c>
      <c r="C899" s="455" t="e">
        <f>VLOOKUP($F$36,таблица,10,0)</f>
        <v>#N/A</v>
      </c>
      <c r="D899" s="456"/>
      <c r="K899" s="365" t="str">
        <f t="shared" si="150"/>
        <v/>
      </c>
    </row>
    <row r="900" spans="1:11" hidden="1" x14ac:dyDescent="0.25">
      <c r="A900" s="389">
        <v>2</v>
      </c>
      <c r="B900" s="390" t="s">
        <v>58</v>
      </c>
      <c r="C900" s="455" t="e">
        <f>VLOOKUP($F$36,таблица,11,0)</f>
        <v>#N/A</v>
      </c>
      <c r="D900" s="456"/>
      <c r="K900" s="365" t="str">
        <f t="shared" si="150"/>
        <v/>
      </c>
    </row>
    <row r="901" spans="1:11" ht="31.5" hidden="1" x14ac:dyDescent="0.25">
      <c r="A901" s="389">
        <v>3</v>
      </c>
      <c r="B901" s="390" t="s">
        <v>8</v>
      </c>
      <c r="C901" s="455" t="e">
        <f>VLOOKUP($F$36,таблица,12,0)</f>
        <v>#N/A</v>
      </c>
      <c r="D901" s="456"/>
      <c r="K901" s="365" t="str">
        <f t="shared" si="150"/>
        <v/>
      </c>
    </row>
    <row r="902" spans="1:11" hidden="1" x14ac:dyDescent="0.25">
      <c r="A902" s="389">
        <v>4</v>
      </c>
      <c r="B902" s="390" t="s">
        <v>59</v>
      </c>
      <c r="C902" s="455" t="e">
        <f>VLOOKUP($F$36,таблица,13,0)</f>
        <v>#N/A</v>
      </c>
      <c r="D902" s="456"/>
      <c r="K902" s="365" t="str">
        <f t="shared" si="150"/>
        <v/>
      </c>
    </row>
    <row r="903" spans="1:11" hidden="1" x14ac:dyDescent="0.25">
      <c r="A903" s="389">
        <v>5</v>
      </c>
      <c r="B903" s="390" t="s">
        <v>14</v>
      </c>
      <c r="C903" s="455" t="e">
        <f>VLOOKUP($F$36,таблица,14,0)</f>
        <v>#N/A</v>
      </c>
      <c r="D903" s="456"/>
      <c r="K903" s="365" t="str">
        <f t="shared" si="150"/>
        <v/>
      </c>
    </row>
    <row r="904" spans="1:11" hidden="1" x14ac:dyDescent="0.25">
      <c r="A904" s="389">
        <v>6</v>
      </c>
      <c r="B904" s="390" t="s">
        <v>23</v>
      </c>
      <c r="C904" s="455" t="e">
        <f>VLOOKUP($F$36,таблица,18,0)</f>
        <v>#N/A</v>
      </c>
      <c r="D904" s="456"/>
      <c r="K904" s="365" t="str">
        <f t="shared" si="150"/>
        <v/>
      </c>
    </row>
    <row r="905" spans="1:11" hidden="1" x14ac:dyDescent="0.25">
      <c r="A905" s="389">
        <v>7</v>
      </c>
      <c r="B905" s="390" t="s">
        <v>156</v>
      </c>
      <c r="C905" s="455" t="e">
        <f>VLOOKUP($F$36,таблица,19,0)+VLOOKUP($F$36,таблица,21,0)+VLOOKUP($F$36,таблица,22,0)+VLOOKUP($F$36,таблица,23,0)+VLOOKUP($F$36,таблица,24,0)+VLOOKUP($F$36,таблица,25,0)+VLOOKUP($F$36,таблица,26,0)</f>
        <v>#N/A</v>
      </c>
      <c r="D905" s="456"/>
      <c r="K905" s="365" t="str">
        <f t="shared" si="150"/>
        <v/>
      </c>
    </row>
    <row r="906" spans="1:11" hidden="1" x14ac:dyDescent="0.25">
      <c r="A906" s="389">
        <v>8</v>
      </c>
      <c r="B906" s="390" t="s">
        <v>101</v>
      </c>
      <c r="C906" s="455" t="e">
        <f>VLOOKUP($F$36,таблица,31,0)</f>
        <v>#N/A</v>
      </c>
      <c r="D906" s="456"/>
      <c r="K906" s="365" t="str">
        <f t="shared" si="150"/>
        <v/>
      </c>
    </row>
    <row r="907" spans="1:11" hidden="1" x14ac:dyDescent="0.25">
      <c r="A907" s="389">
        <v>9</v>
      </c>
      <c r="B907" s="390" t="s">
        <v>241</v>
      </c>
      <c r="C907" s="455" t="e">
        <f>SUM(C899:D906)</f>
        <v>#N/A</v>
      </c>
      <c r="D907" s="456"/>
      <c r="K907" s="365" t="str">
        <f t="shared" si="150"/>
        <v/>
      </c>
    </row>
    <row r="908" spans="1:11" hidden="1" x14ac:dyDescent="0.25">
      <c r="A908" s="464" t="s">
        <v>231</v>
      </c>
      <c r="B908" s="464"/>
      <c r="C908" s="464"/>
      <c r="D908" s="464"/>
      <c r="K908" s="365" t="str">
        <f t="shared" si="150"/>
        <v/>
      </c>
    </row>
    <row r="909" spans="1:11" ht="31.5" hidden="1" x14ac:dyDescent="0.25">
      <c r="A909" s="392" t="s">
        <v>111</v>
      </c>
      <c r="B909" s="385" t="s">
        <v>36</v>
      </c>
      <c r="C909" s="385" t="s">
        <v>221</v>
      </c>
      <c r="D909" s="385" t="s">
        <v>168</v>
      </c>
      <c r="K909" s="365" t="str">
        <f t="shared" si="150"/>
        <v/>
      </c>
    </row>
    <row r="910" spans="1:11" hidden="1" x14ac:dyDescent="0.25">
      <c r="A910" s="389">
        <v>10</v>
      </c>
      <c r="B910" s="389" t="e">
        <f>VLOOKUP((VLOOKUP($F$36,таблица,8,0)),рем_содер,2,0)</f>
        <v>#N/A</v>
      </c>
      <c r="C910" s="389"/>
      <c r="D910" s="390"/>
      <c r="K910" s="365" t="str">
        <f t="shared" si="150"/>
        <v/>
      </c>
    </row>
    <row r="911" spans="1:11" hidden="1" x14ac:dyDescent="0.25">
      <c r="A911" s="389" t="e">
        <f>IF(D911=0,0,A910+1)</f>
        <v>#N/A</v>
      </c>
      <c r="B911" s="390" t="e">
        <f>CONCATENATE("2015 г. (",CHOOSE(VLOOKUP(F$36,таблица,63,0),"Январь","Февраль","Март","Апрель","Май","Июнь","Июль","Август","Сентябрь","Октябрь","Ноябрь","Декабрь")," - ",CHOOSE(VLOOKUP(F$36,таблица,64,0),"Январь","Февраль","Март","Апрель","Май","Июнь","Июль","Август","Сентябрь","Октябрь","Ноябрь","Декабрь"),")")</f>
        <v>#N/A</v>
      </c>
      <c r="C911" s="389" t="s">
        <v>222</v>
      </c>
      <c r="D911" s="417" t="e">
        <f>IF(D913=0,0,VLOOKUP($F$36,таблица,69,0)*100+100)</f>
        <v>#N/A</v>
      </c>
      <c r="K911" s="365" t="e">
        <f>IF(D911=0,"",1)</f>
        <v>#N/A</v>
      </c>
    </row>
    <row r="912" spans="1:11" hidden="1" x14ac:dyDescent="0.25">
      <c r="A912" s="389" t="e">
        <f>IF(D912=0,0,IF(D911=0,A910+1,A911+1))</f>
        <v>#N/A</v>
      </c>
      <c r="B912" s="390" t="e">
        <f>CONCATENATE("2016 г. (",CHOOSE(VLOOKUP(F$36,таблица,65,0),"Январь","Февраль","Март","Апрель","Май","Июнь","Июль","Август","Сентябрь","Октябрь","Ноябрь","Декабрь")," - ",CHOOSE(VLOOKUP(F$36,таблица,66,0),"Январь","Февраль","Март","Апрель","Май","Июнь","Июль","Август","Сентябрь","Октябрь","Ноябрь","Декабрь"),")")</f>
        <v>#N/A</v>
      </c>
      <c r="C912" s="389" t="s">
        <v>222</v>
      </c>
      <c r="D912" s="417" t="e">
        <f>IF(D914=0,0,VLOOKUP($F$36,таблица,70,0)*100+100)</f>
        <v>#N/A</v>
      </c>
      <c r="K912" s="365" t="e">
        <f t="shared" ref="K912:K914" si="151">IF(D912=0,"",1)</f>
        <v>#N/A</v>
      </c>
    </row>
    <row r="913" spans="1:11" hidden="1" x14ac:dyDescent="0.25">
      <c r="A913" s="389" t="e">
        <f>IF(D913=0,0,IF(D912=0,A911+1,A912+1))</f>
        <v>#N/A</v>
      </c>
      <c r="B913" s="390" t="s">
        <v>223</v>
      </c>
      <c r="C913" s="389" t="s">
        <v>224</v>
      </c>
      <c r="D913" s="394" t="e">
        <f>VLOOKUP($F$36,таблица,46,0)</f>
        <v>#N/A</v>
      </c>
      <c r="K913" s="365" t="e">
        <f t="shared" si="151"/>
        <v>#N/A</v>
      </c>
    </row>
    <row r="914" spans="1:11" hidden="1" x14ac:dyDescent="0.25">
      <c r="A914" s="389" t="e">
        <f>IF(D914=0,0,IF(D913=0,A912+1,A913+1))</f>
        <v>#N/A</v>
      </c>
      <c r="B914" s="390" t="s">
        <v>351</v>
      </c>
      <c r="C914" s="389" t="s">
        <v>224</v>
      </c>
      <c r="D914" s="394" t="e">
        <f>VLOOKUP($F$36,таблица,56,0)</f>
        <v>#N/A</v>
      </c>
      <c r="K914" s="365" t="e">
        <f t="shared" si="151"/>
        <v>#N/A</v>
      </c>
    </row>
    <row r="915" spans="1:11" hidden="1" x14ac:dyDescent="0.25">
      <c r="A915" s="464" t="s">
        <v>225</v>
      </c>
      <c r="B915" s="464"/>
      <c r="C915" s="464"/>
      <c r="D915" s="464"/>
      <c r="K915" s="365" t="str">
        <f>IF($F$36=0,"",1)</f>
        <v/>
      </c>
    </row>
    <row r="916" spans="1:11" ht="31.5" hidden="1" x14ac:dyDescent="0.25">
      <c r="A916" s="389" t="e">
        <f>IF(D916=0,0,IF(D914=0,IF(D913=0,A910+1,A913+1),A914+1))</f>
        <v>#N/A</v>
      </c>
      <c r="B916" s="395" t="s">
        <v>275</v>
      </c>
      <c r="C916" s="389" t="s">
        <v>224</v>
      </c>
      <c r="D916" s="394" t="e">
        <f>SUM(VLOOKUP($F$36,таблица,41,0),D913)</f>
        <v>#N/A</v>
      </c>
      <c r="E916" s="365"/>
      <c r="K916" s="365" t="e">
        <f t="shared" ref="K916:K922" si="152">IF(D916=0,"",1)</f>
        <v>#N/A</v>
      </c>
    </row>
    <row r="917" spans="1:11" hidden="1" x14ac:dyDescent="0.25">
      <c r="A917" s="389" t="e">
        <f>IF(D917=0,0,A916+1)</f>
        <v>#N/A</v>
      </c>
      <c r="B917" s="395" t="s">
        <v>227</v>
      </c>
      <c r="C917" s="389" t="s">
        <v>224</v>
      </c>
      <c r="D917" s="394" t="e">
        <f>VLOOKUP($F$36,таблица,51,0)</f>
        <v>#N/A</v>
      </c>
      <c r="E917" s="365"/>
      <c r="K917" s="365" t="e">
        <f t="shared" si="152"/>
        <v>#N/A</v>
      </c>
    </row>
    <row r="918" spans="1:11" hidden="1" x14ac:dyDescent="0.25">
      <c r="A918" s="389" t="e">
        <f>IF(D918=0,0,A917+1)</f>
        <v>#N/A</v>
      </c>
      <c r="B918" s="395" t="s">
        <v>274</v>
      </c>
      <c r="C918" s="389" t="s">
        <v>224</v>
      </c>
      <c r="D918" s="397" t="e">
        <f>SUM(D916:D917)</f>
        <v>#N/A</v>
      </c>
      <c r="E918" s="391" t="e">
        <f>VLOOKUP($F$36,таблица,71,0)</f>
        <v>#N/A</v>
      </c>
      <c r="K918" s="365" t="e">
        <f t="shared" si="152"/>
        <v>#N/A</v>
      </c>
    </row>
    <row r="919" spans="1:11" ht="31.5" hidden="1" x14ac:dyDescent="0.25">
      <c r="A919" s="389" t="e">
        <f>IF(D919=0,0,IF(D918=0,IF(D914=0,A910+1,A914+1),A918+1))</f>
        <v>#N/A</v>
      </c>
      <c r="B919" s="395" t="s">
        <v>349</v>
      </c>
      <c r="C919" s="389" t="s">
        <v>224</v>
      </c>
      <c r="D919" s="394" t="e">
        <f>VLOOKUP($F$36,таблица,36,0)-VLOOKUP($F$36,таблица,41,0)+D914</f>
        <v>#N/A</v>
      </c>
      <c r="K919" s="365" t="e">
        <f t="shared" si="152"/>
        <v>#N/A</v>
      </c>
    </row>
    <row r="920" spans="1:11" hidden="1" x14ac:dyDescent="0.25">
      <c r="A920" s="389" t="e">
        <f>IF(D920=0,0,A919+1)</f>
        <v>#N/A</v>
      </c>
      <c r="B920" s="395" t="s">
        <v>227</v>
      </c>
      <c r="C920" s="389" t="s">
        <v>224</v>
      </c>
      <c r="D920" s="394" t="e">
        <f>VLOOKUP($F$36,таблица,61,0)</f>
        <v>#N/A</v>
      </c>
      <c r="K920" s="365" t="e">
        <f t="shared" si="152"/>
        <v>#N/A</v>
      </c>
    </row>
    <row r="921" spans="1:11" hidden="1" x14ac:dyDescent="0.25">
      <c r="A921" s="389" t="e">
        <f>IF(D921=0,0,A920+1)</f>
        <v>#N/A</v>
      </c>
      <c r="B921" s="395" t="s">
        <v>350</v>
      </c>
      <c r="C921" s="389" t="s">
        <v>224</v>
      </c>
      <c r="D921" s="397" t="e">
        <f>SUM(D919:D920)</f>
        <v>#N/A</v>
      </c>
      <c r="E921" s="391" t="e">
        <f>VLOOKUP($F$36,таблица,72,0)</f>
        <v>#N/A</v>
      </c>
      <c r="K921" s="365" t="e">
        <f t="shared" si="152"/>
        <v>#N/A</v>
      </c>
    </row>
    <row r="922" spans="1:11" hidden="1" x14ac:dyDescent="0.25">
      <c r="A922" s="389" t="e">
        <f>IF(D922=0,0,A921+1)</f>
        <v>#N/A</v>
      </c>
      <c r="B922" s="395" t="s">
        <v>226</v>
      </c>
      <c r="C922" s="389" t="s">
        <v>224</v>
      </c>
      <c r="D922" s="397" t="e">
        <f>IF(OR(D918=0,D921=0),0,D921+D918)</f>
        <v>#N/A</v>
      </c>
      <c r="E922" s="391" t="e">
        <f>VLOOKUP($F$36,таблица,62,0)</f>
        <v>#N/A</v>
      </c>
      <c r="K922" s="365" t="e">
        <f t="shared" si="152"/>
        <v>#N/A</v>
      </c>
    </row>
    <row r="923" spans="1:11" hidden="1" x14ac:dyDescent="0.25">
      <c r="A923" s="400"/>
      <c r="B923" s="400"/>
      <c r="C923" s="400"/>
      <c r="D923" s="401"/>
      <c r="K923" s="365" t="str">
        <f>IF($F$36=0,"",1)</f>
        <v/>
      </c>
    </row>
    <row r="924" spans="1:11" ht="47.25" hidden="1" customHeight="1" x14ac:dyDescent="0.25">
      <c r="A924" s="465" t="str">
        <f>'Анализ стоимости'!$I$58</f>
        <v>Начальник финансового отдела</v>
      </c>
      <c r="B924" s="466"/>
      <c r="C924" s="402"/>
      <c r="D924" s="403" t="str">
        <f>'Анализ стоимости'!$I$59</f>
        <v>А.Ю.Кашуба</v>
      </c>
      <c r="H924" s="405" t="str">
        <f>A924</f>
        <v>Начальник финансового отдела</v>
      </c>
      <c r="K924" s="365" t="str">
        <f>IF($F$36=0,"",1)</f>
        <v/>
      </c>
    </row>
    <row r="925" spans="1:11" hidden="1" x14ac:dyDescent="0.25">
      <c r="A925" s="407"/>
      <c r="B925" s="407"/>
      <c r="C925" s="407"/>
      <c r="D925" s="408"/>
      <c r="K925" s="365" t="str">
        <f>IF($F$36=0,"",1)</f>
        <v/>
      </c>
    </row>
    <row r="926" spans="1:11" hidden="1" x14ac:dyDescent="0.25">
      <c r="A926" s="462">
        <f ca="1">TODAY()</f>
        <v>42101</v>
      </c>
      <c r="B926" s="462"/>
      <c r="C926" s="371"/>
      <c r="D926" s="371"/>
      <c r="K926" s="365" t="str">
        <f>IF($F$36=0,"",1)</f>
        <v/>
      </c>
    </row>
    <row r="927" spans="1:11" hidden="1" x14ac:dyDescent="0.25">
      <c r="A927" s="463" t="s">
        <v>305</v>
      </c>
      <c r="B927" s="463"/>
      <c r="C927" s="463"/>
      <c r="D927" s="463"/>
      <c r="H927" s="369"/>
      <c r="I927" s="369"/>
      <c r="K927" s="365" t="str">
        <f t="shared" ref="K927:K944" si="153">IF($F$37=0,"",1)</f>
        <v/>
      </c>
    </row>
    <row r="928" spans="1:11" ht="47.25" hidden="1" customHeight="1" x14ac:dyDescent="0.2">
      <c r="A928" s="458" t="e">
        <f>CONCATENATE("Наименование объекта: ",VLOOKUP($F$37,таблица,9,0))</f>
        <v>#N/A</v>
      </c>
      <c r="B928" s="458"/>
      <c r="C928" s="458"/>
      <c r="D928" s="458"/>
      <c r="J928" s="414" t="e">
        <f>A928</f>
        <v>#N/A</v>
      </c>
      <c r="K928" s="365" t="str">
        <f t="shared" si="153"/>
        <v/>
      </c>
    </row>
    <row r="929" spans="1:11" hidden="1" x14ac:dyDescent="0.25">
      <c r="A929" s="383"/>
      <c r="B929" s="372"/>
      <c r="C929" s="372"/>
      <c r="D929" s="372"/>
      <c r="K929" s="365" t="str">
        <f t="shared" si="153"/>
        <v/>
      </c>
    </row>
    <row r="930" spans="1:11" hidden="1" x14ac:dyDescent="0.25">
      <c r="A930" s="415" t="s">
        <v>218</v>
      </c>
      <c r="B930" s="378"/>
      <c r="C930" s="378"/>
      <c r="D930" s="378"/>
      <c r="K930" s="365" t="str">
        <f t="shared" si="153"/>
        <v/>
      </c>
    </row>
    <row r="931" spans="1:11" hidden="1" x14ac:dyDescent="0.25">
      <c r="A931" s="459" t="s">
        <v>219</v>
      </c>
      <c r="B931" s="459"/>
      <c r="C931" s="459"/>
      <c r="D931" s="459"/>
      <c r="K931" s="365" t="str">
        <f t="shared" si="153"/>
        <v/>
      </c>
    </row>
    <row r="932" spans="1:11" ht="31.5" hidden="1" x14ac:dyDescent="0.25">
      <c r="A932" s="385" t="s">
        <v>111</v>
      </c>
      <c r="B932" s="385" t="s">
        <v>167</v>
      </c>
      <c r="C932" s="460" t="e">
        <f>CONCATENATE("Стоимость  согласно сметной документации (руб.) в текущих ценах по состоянию на ",VLOOKUP($F$37,таблица,5,0)," г.")</f>
        <v>#N/A</v>
      </c>
      <c r="D932" s="461"/>
      <c r="I932" s="386" t="e">
        <f>C932</f>
        <v>#N/A</v>
      </c>
      <c r="K932" s="365" t="str">
        <f t="shared" si="153"/>
        <v/>
      </c>
    </row>
    <row r="933" spans="1:11" hidden="1" x14ac:dyDescent="0.25">
      <c r="A933" s="389">
        <v>1</v>
      </c>
      <c r="B933" s="390" t="s">
        <v>68</v>
      </c>
      <c r="C933" s="455" t="e">
        <f>VLOOKUP($F$37,таблица,10,0)</f>
        <v>#N/A</v>
      </c>
      <c r="D933" s="456"/>
      <c r="K933" s="365" t="str">
        <f t="shared" si="153"/>
        <v/>
      </c>
    </row>
    <row r="934" spans="1:11" hidden="1" x14ac:dyDescent="0.25">
      <c r="A934" s="389">
        <v>2</v>
      </c>
      <c r="B934" s="390" t="s">
        <v>58</v>
      </c>
      <c r="C934" s="455" t="e">
        <f>VLOOKUP($F$37,таблица,11,0)</f>
        <v>#N/A</v>
      </c>
      <c r="D934" s="456"/>
      <c r="K934" s="365" t="str">
        <f t="shared" si="153"/>
        <v/>
      </c>
    </row>
    <row r="935" spans="1:11" ht="31.5" hidden="1" x14ac:dyDescent="0.25">
      <c r="A935" s="389">
        <v>3</v>
      </c>
      <c r="B935" s="390" t="s">
        <v>8</v>
      </c>
      <c r="C935" s="455" t="e">
        <f>VLOOKUP($F$37,таблица,12,0)</f>
        <v>#N/A</v>
      </c>
      <c r="D935" s="456"/>
      <c r="K935" s="365" t="str">
        <f t="shared" si="153"/>
        <v/>
      </c>
    </row>
    <row r="936" spans="1:11" hidden="1" x14ac:dyDescent="0.25">
      <c r="A936" s="389">
        <v>4</v>
      </c>
      <c r="B936" s="390" t="s">
        <v>59</v>
      </c>
      <c r="C936" s="455" t="e">
        <f>VLOOKUP($F$37,таблица,13,0)</f>
        <v>#N/A</v>
      </c>
      <c r="D936" s="456"/>
      <c r="K936" s="365" t="str">
        <f t="shared" si="153"/>
        <v/>
      </c>
    </row>
    <row r="937" spans="1:11" hidden="1" x14ac:dyDescent="0.25">
      <c r="A937" s="389">
        <v>5</v>
      </c>
      <c r="B937" s="390" t="s">
        <v>14</v>
      </c>
      <c r="C937" s="455" t="e">
        <f>VLOOKUP($F$37,таблица,14,0)</f>
        <v>#N/A</v>
      </c>
      <c r="D937" s="456"/>
      <c r="K937" s="365" t="str">
        <f t="shared" si="153"/>
        <v/>
      </c>
    </row>
    <row r="938" spans="1:11" hidden="1" x14ac:dyDescent="0.25">
      <c r="A938" s="389">
        <v>6</v>
      </c>
      <c r="B938" s="390" t="s">
        <v>23</v>
      </c>
      <c r="C938" s="455" t="e">
        <f>VLOOKUP($F$37,таблица,18,0)</f>
        <v>#N/A</v>
      </c>
      <c r="D938" s="456"/>
      <c r="K938" s="365" t="str">
        <f t="shared" si="153"/>
        <v/>
      </c>
    </row>
    <row r="939" spans="1:11" hidden="1" x14ac:dyDescent="0.25">
      <c r="A939" s="389">
        <v>7</v>
      </c>
      <c r="B939" s="390" t="s">
        <v>156</v>
      </c>
      <c r="C939" s="455" t="e">
        <f>VLOOKUP($F$37,таблица,19,0)+VLOOKUP($F$37,таблица,21,0)+VLOOKUP($F$37,таблица,22,0)+VLOOKUP($F$37,таблица,23,0)+VLOOKUP($F$37,таблица,24,0)+VLOOKUP($F$37,таблица,25,0)+VLOOKUP($F$37,таблица,26,0)</f>
        <v>#N/A</v>
      </c>
      <c r="D939" s="456"/>
      <c r="K939" s="365" t="str">
        <f t="shared" si="153"/>
        <v/>
      </c>
    </row>
    <row r="940" spans="1:11" hidden="1" x14ac:dyDescent="0.25">
      <c r="A940" s="389">
        <v>8</v>
      </c>
      <c r="B940" s="390" t="s">
        <v>101</v>
      </c>
      <c r="C940" s="455" t="e">
        <f>VLOOKUP($F$37,таблица,31,0)</f>
        <v>#N/A</v>
      </c>
      <c r="D940" s="456"/>
      <c r="K940" s="365" t="str">
        <f t="shared" si="153"/>
        <v/>
      </c>
    </row>
    <row r="941" spans="1:11" hidden="1" x14ac:dyDescent="0.25">
      <c r="A941" s="389">
        <v>9</v>
      </c>
      <c r="B941" s="390" t="s">
        <v>241</v>
      </c>
      <c r="C941" s="455" t="e">
        <f>SUM(C933:D940)</f>
        <v>#N/A</v>
      </c>
      <c r="D941" s="456"/>
      <c r="K941" s="365" t="str">
        <f t="shared" si="153"/>
        <v/>
      </c>
    </row>
    <row r="942" spans="1:11" hidden="1" x14ac:dyDescent="0.25">
      <c r="A942" s="464" t="s">
        <v>231</v>
      </c>
      <c r="B942" s="464"/>
      <c r="C942" s="464"/>
      <c r="D942" s="464"/>
      <c r="K942" s="365" t="str">
        <f t="shared" si="153"/>
        <v/>
      </c>
    </row>
    <row r="943" spans="1:11" ht="31.5" hidden="1" x14ac:dyDescent="0.25">
      <c r="A943" s="392" t="s">
        <v>111</v>
      </c>
      <c r="B943" s="385" t="s">
        <v>36</v>
      </c>
      <c r="C943" s="385" t="s">
        <v>221</v>
      </c>
      <c r="D943" s="385" t="s">
        <v>168</v>
      </c>
      <c r="K943" s="365" t="str">
        <f t="shared" si="153"/>
        <v/>
      </c>
    </row>
    <row r="944" spans="1:11" hidden="1" x14ac:dyDescent="0.25">
      <c r="A944" s="389">
        <v>10</v>
      </c>
      <c r="B944" s="389" t="e">
        <f>VLOOKUP((VLOOKUP($F$37,таблица,8,0)),рем_содер,2,0)</f>
        <v>#N/A</v>
      </c>
      <c r="C944" s="389"/>
      <c r="D944" s="390"/>
      <c r="K944" s="365" t="str">
        <f t="shared" si="153"/>
        <v/>
      </c>
    </row>
    <row r="945" spans="1:11" hidden="1" x14ac:dyDescent="0.25">
      <c r="A945" s="389" t="e">
        <f>IF(D945=0,0,A944+1)</f>
        <v>#N/A</v>
      </c>
      <c r="B945" s="390" t="e">
        <f>CONCATENATE("2015 г. (",CHOOSE(VLOOKUP(F$37,таблица,63,0),"Январь","Февраль","Март","Апрель","Май","Июнь","Июль","Август","Сентябрь","Октябрь","Ноябрь","Декабрь")," - ",CHOOSE(VLOOKUP(F$37,таблица,64,0),"Январь","Февраль","Март","Апрель","Май","Июнь","Июль","Август","Сентябрь","Октябрь","Ноябрь","Декабрь"),")")</f>
        <v>#N/A</v>
      </c>
      <c r="C945" s="389" t="s">
        <v>222</v>
      </c>
      <c r="D945" s="417" t="e">
        <f>IF(D947=0,0,VLOOKUP($F$37,таблица,69,0)*100+100)</f>
        <v>#N/A</v>
      </c>
      <c r="K945" s="365" t="e">
        <f>IF(D945=0,"",1)</f>
        <v>#N/A</v>
      </c>
    </row>
    <row r="946" spans="1:11" hidden="1" x14ac:dyDescent="0.25">
      <c r="A946" s="389" t="e">
        <f>IF(D946=0,0,IF(D945=0,A944+1,A945+1))</f>
        <v>#N/A</v>
      </c>
      <c r="B946" s="390" t="e">
        <f>CONCATENATE("2016 г. (",CHOOSE(VLOOKUP(F$37,таблица,65,0),"Январь","Февраль","Март","Апрель","Май","Июнь","Июль","Август","Сентябрь","Октябрь","Ноябрь","Декабрь")," - ",CHOOSE(VLOOKUP(F$37,таблица,66,0),"Январь","Февраль","Март","Апрель","Май","Июнь","Июль","Август","Сентябрь","Октябрь","Ноябрь","Декабрь"),")")</f>
        <v>#N/A</v>
      </c>
      <c r="C946" s="389" t="s">
        <v>222</v>
      </c>
      <c r="D946" s="417" t="e">
        <f>IF(D948=0,0,VLOOKUP($F$37,таблица,70,0)*100+100)</f>
        <v>#N/A</v>
      </c>
      <c r="K946" s="365" t="e">
        <f t="shared" ref="K946:K948" si="154">IF(D946=0,"",1)</f>
        <v>#N/A</v>
      </c>
    </row>
    <row r="947" spans="1:11" hidden="1" x14ac:dyDescent="0.25">
      <c r="A947" s="389" t="e">
        <f>IF(D947=0,0,IF(D946=0,A945+1,A946+1))</f>
        <v>#N/A</v>
      </c>
      <c r="B947" s="390" t="s">
        <v>223</v>
      </c>
      <c r="C947" s="389" t="s">
        <v>224</v>
      </c>
      <c r="D947" s="394" t="e">
        <f>VLOOKUP($F$37,таблица,46,0)</f>
        <v>#N/A</v>
      </c>
      <c r="K947" s="365" t="e">
        <f t="shared" si="154"/>
        <v>#N/A</v>
      </c>
    </row>
    <row r="948" spans="1:11" hidden="1" x14ac:dyDescent="0.25">
      <c r="A948" s="389" t="e">
        <f>IF(D948=0,0,IF(D947=0,A946+1,A947+1))</f>
        <v>#N/A</v>
      </c>
      <c r="B948" s="390" t="s">
        <v>351</v>
      </c>
      <c r="C948" s="389" t="s">
        <v>224</v>
      </c>
      <c r="D948" s="394" t="e">
        <f>VLOOKUP($F$37,таблица,56,0)</f>
        <v>#N/A</v>
      </c>
      <c r="K948" s="365" t="e">
        <f t="shared" si="154"/>
        <v>#N/A</v>
      </c>
    </row>
    <row r="949" spans="1:11" hidden="1" x14ac:dyDescent="0.25">
      <c r="A949" s="464" t="s">
        <v>225</v>
      </c>
      <c r="B949" s="464"/>
      <c r="C949" s="464"/>
      <c r="D949" s="464"/>
      <c r="K949" s="365" t="str">
        <f>IF($F$37=0,"",1)</f>
        <v/>
      </c>
    </row>
    <row r="950" spans="1:11" ht="31.5" hidden="1" x14ac:dyDescent="0.25">
      <c r="A950" s="389" t="e">
        <f>IF(D950=0,0,IF(D948=0,IF(D947=0,A944+1,A947+1),A948+1))</f>
        <v>#N/A</v>
      </c>
      <c r="B950" s="395" t="s">
        <v>275</v>
      </c>
      <c r="C950" s="389" t="s">
        <v>224</v>
      </c>
      <c r="D950" s="394" t="e">
        <f>SUM(VLOOKUP($F$37,таблица,41,0),D947)</f>
        <v>#N/A</v>
      </c>
      <c r="E950" s="365"/>
      <c r="K950" s="365" t="e">
        <f t="shared" ref="K950:K956" si="155">IF(D950=0,"",1)</f>
        <v>#N/A</v>
      </c>
    </row>
    <row r="951" spans="1:11" hidden="1" x14ac:dyDescent="0.25">
      <c r="A951" s="389" t="e">
        <f>IF(D951=0,0,A950+1)</f>
        <v>#N/A</v>
      </c>
      <c r="B951" s="395" t="s">
        <v>227</v>
      </c>
      <c r="C951" s="389" t="s">
        <v>224</v>
      </c>
      <c r="D951" s="394" t="e">
        <f>VLOOKUP($F$37,таблица,51,0)</f>
        <v>#N/A</v>
      </c>
      <c r="E951" s="365"/>
      <c r="K951" s="365" t="e">
        <f t="shared" si="155"/>
        <v>#N/A</v>
      </c>
    </row>
    <row r="952" spans="1:11" hidden="1" x14ac:dyDescent="0.25">
      <c r="A952" s="389" t="e">
        <f>IF(D952=0,0,A951+1)</f>
        <v>#N/A</v>
      </c>
      <c r="B952" s="395" t="s">
        <v>274</v>
      </c>
      <c r="C952" s="389" t="s">
        <v>224</v>
      </c>
      <c r="D952" s="397" t="e">
        <f>SUM(D950:D951)</f>
        <v>#N/A</v>
      </c>
      <c r="E952" s="391" t="e">
        <f>VLOOKUP($F$37,таблица,71,0)</f>
        <v>#N/A</v>
      </c>
      <c r="K952" s="365" t="e">
        <f t="shared" si="155"/>
        <v>#N/A</v>
      </c>
    </row>
    <row r="953" spans="1:11" ht="31.5" hidden="1" x14ac:dyDescent="0.25">
      <c r="A953" s="389" t="e">
        <f>IF(D953=0,0,IF(D952=0,IF(D948=0,A944+1,A948+1),A952+1))</f>
        <v>#N/A</v>
      </c>
      <c r="B953" s="395" t="s">
        <v>349</v>
      </c>
      <c r="C953" s="389" t="s">
        <v>224</v>
      </c>
      <c r="D953" s="394" t="e">
        <f>VLOOKUP($F$37,таблица,36,0)-VLOOKUP($F$37,таблица,41,0)+D948</f>
        <v>#N/A</v>
      </c>
      <c r="K953" s="365" t="e">
        <f t="shared" si="155"/>
        <v>#N/A</v>
      </c>
    </row>
    <row r="954" spans="1:11" hidden="1" x14ac:dyDescent="0.25">
      <c r="A954" s="389" t="e">
        <f>IF(D954=0,0,A953+1)</f>
        <v>#N/A</v>
      </c>
      <c r="B954" s="395" t="s">
        <v>227</v>
      </c>
      <c r="C954" s="389" t="s">
        <v>224</v>
      </c>
      <c r="D954" s="394" t="e">
        <f>VLOOKUP($F$37,таблица,61,0)</f>
        <v>#N/A</v>
      </c>
      <c r="K954" s="365" t="e">
        <f t="shared" si="155"/>
        <v>#N/A</v>
      </c>
    </row>
    <row r="955" spans="1:11" hidden="1" x14ac:dyDescent="0.25">
      <c r="A955" s="389" t="e">
        <f>IF(D955=0,0,A954+1)</f>
        <v>#N/A</v>
      </c>
      <c r="B955" s="395" t="s">
        <v>350</v>
      </c>
      <c r="C955" s="389" t="s">
        <v>224</v>
      </c>
      <c r="D955" s="397" t="e">
        <f>SUM(D953:D954)</f>
        <v>#N/A</v>
      </c>
      <c r="E955" s="391" t="e">
        <f>VLOOKUP($F$37,таблица,72,0)</f>
        <v>#N/A</v>
      </c>
      <c r="K955" s="365" t="e">
        <f t="shared" si="155"/>
        <v>#N/A</v>
      </c>
    </row>
    <row r="956" spans="1:11" hidden="1" x14ac:dyDescent="0.25">
      <c r="A956" s="389" t="e">
        <f>IF(D956=0,0,A955+1)</f>
        <v>#N/A</v>
      </c>
      <c r="B956" s="395" t="s">
        <v>226</v>
      </c>
      <c r="C956" s="389" t="s">
        <v>224</v>
      </c>
      <c r="D956" s="397" t="e">
        <f>IF(OR(D952=0,D955=0),0,D955+D952)</f>
        <v>#N/A</v>
      </c>
      <c r="E956" s="391" t="e">
        <f>VLOOKUP($F$37,таблица,62,0)</f>
        <v>#N/A</v>
      </c>
      <c r="K956" s="365" t="e">
        <f t="shared" si="155"/>
        <v>#N/A</v>
      </c>
    </row>
    <row r="957" spans="1:11" hidden="1" x14ac:dyDescent="0.25">
      <c r="A957" s="400"/>
      <c r="B957" s="400"/>
      <c r="C957" s="400"/>
      <c r="D957" s="401"/>
      <c r="K957" s="365" t="str">
        <f>IF($F$37=0,"",1)</f>
        <v/>
      </c>
    </row>
    <row r="958" spans="1:11" ht="47.25" hidden="1" customHeight="1" x14ac:dyDescent="0.25">
      <c r="A958" s="465" t="str">
        <f>'Анализ стоимости'!$I$58</f>
        <v>Начальник финансового отдела</v>
      </c>
      <c r="B958" s="466"/>
      <c r="C958" s="402"/>
      <c r="D958" s="403" t="str">
        <f>'Анализ стоимости'!$I$59</f>
        <v>А.Ю.Кашуба</v>
      </c>
      <c r="H958" s="405" t="str">
        <f>A958</f>
        <v>Начальник финансового отдела</v>
      </c>
      <c r="K958" s="365" t="str">
        <f>IF($F$37=0,"",1)</f>
        <v/>
      </c>
    </row>
    <row r="959" spans="1:11" hidden="1" x14ac:dyDescent="0.25">
      <c r="A959" s="407"/>
      <c r="B959" s="407"/>
      <c r="C959" s="407"/>
      <c r="D959" s="408"/>
      <c r="K959" s="365" t="str">
        <f>IF($F$37=0,"",1)</f>
        <v/>
      </c>
    </row>
    <row r="960" spans="1:11" hidden="1" x14ac:dyDescent="0.25">
      <c r="A960" s="462">
        <f ca="1">TODAY()</f>
        <v>42101</v>
      </c>
      <c r="B960" s="462"/>
      <c r="C960" s="371"/>
      <c r="D960" s="371"/>
      <c r="K960" s="365" t="str">
        <f>IF($F$37=0,"",1)</f>
        <v/>
      </c>
    </row>
    <row r="961" spans="1:11" hidden="1" x14ac:dyDescent="0.25">
      <c r="A961" s="463" t="s">
        <v>306</v>
      </c>
      <c r="B961" s="463"/>
      <c r="C961" s="463"/>
      <c r="D961" s="463"/>
      <c r="H961" s="369"/>
      <c r="I961" s="369"/>
      <c r="K961" s="365" t="str">
        <f t="shared" ref="K961:K978" si="156">IF($F$38=0,"",1)</f>
        <v/>
      </c>
    </row>
    <row r="962" spans="1:11" ht="47.25" hidden="1" customHeight="1" x14ac:dyDescent="0.2">
      <c r="A962" s="458" t="e">
        <f>CONCATENATE("Наименование объекта: ",VLOOKUP($F$38,таблица,9,0))</f>
        <v>#N/A</v>
      </c>
      <c r="B962" s="458"/>
      <c r="C962" s="458"/>
      <c r="D962" s="458"/>
      <c r="J962" s="414" t="e">
        <f>A962</f>
        <v>#N/A</v>
      </c>
      <c r="K962" s="365" t="str">
        <f t="shared" si="156"/>
        <v/>
      </c>
    </row>
    <row r="963" spans="1:11" hidden="1" x14ac:dyDescent="0.25">
      <c r="A963" s="383"/>
      <c r="B963" s="372"/>
      <c r="C963" s="372"/>
      <c r="D963" s="372"/>
      <c r="K963" s="365" t="str">
        <f t="shared" si="156"/>
        <v/>
      </c>
    </row>
    <row r="964" spans="1:11" hidden="1" x14ac:dyDescent="0.25">
      <c r="A964" s="415" t="s">
        <v>218</v>
      </c>
      <c r="B964" s="378"/>
      <c r="C964" s="378"/>
      <c r="D964" s="378"/>
      <c r="K964" s="365" t="str">
        <f t="shared" si="156"/>
        <v/>
      </c>
    </row>
    <row r="965" spans="1:11" hidden="1" x14ac:dyDescent="0.25">
      <c r="A965" s="459" t="s">
        <v>219</v>
      </c>
      <c r="B965" s="459"/>
      <c r="C965" s="459"/>
      <c r="D965" s="459"/>
      <c r="K965" s="365" t="str">
        <f t="shared" si="156"/>
        <v/>
      </c>
    </row>
    <row r="966" spans="1:11" ht="31.5" hidden="1" x14ac:dyDescent="0.25">
      <c r="A966" s="385" t="s">
        <v>111</v>
      </c>
      <c r="B966" s="385" t="s">
        <v>167</v>
      </c>
      <c r="C966" s="460" t="e">
        <f>CONCATENATE("Стоимость  согласно сметной документации (руб.) в текущих ценах по состоянию на ",VLOOKUP($F$38,таблица,5,0)," г.")</f>
        <v>#N/A</v>
      </c>
      <c r="D966" s="461"/>
      <c r="I966" s="386" t="e">
        <f>C966</f>
        <v>#N/A</v>
      </c>
      <c r="K966" s="365" t="str">
        <f t="shared" si="156"/>
        <v/>
      </c>
    </row>
    <row r="967" spans="1:11" hidden="1" x14ac:dyDescent="0.25">
      <c r="A967" s="389">
        <v>1</v>
      </c>
      <c r="B967" s="390" t="s">
        <v>68</v>
      </c>
      <c r="C967" s="455" t="e">
        <f>VLOOKUP($F$38,таблица,10,0)</f>
        <v>#N/A</v>
      </c>
      <c r="D967" s="456"/>
      <c r="K967" s="365" t="str">
        <f t="shared" si="156"/>
        <v/>
      </c>
    </row>
    <row r="968" spans="1:11" hidden="1" x14ac:dyDescent="0.25">
      <c r="A968" s="389">
        <v>2</v>
      </c>
      <c r="B968" s="390" t="s">
        <v>58</v>
      </c>
      <c r="C968" s="455" t="e">
        <f>VLOOKUP($F$38,таблица,11,0)</f>
        <v>#N/A</v>
      </c>
      <c r="D968" s="456"/>
      <c r="K968" s="365" t="str">
        <f t="shared" si="156"/>
        <v/>
      </c>
    </row>
    <row r="969" spans="1:11" ht="31.5" hidden="1" x14ac:dyDescent="0.25">
      <c r="A969" s="389">
        <v>3</v>
      </c>
      <c r="B969" s="390" t="s">
        <v>8</v>
      </c>
      <c r="C969" s="455" t="e">
        <f>VLOOKUP($F$38,таблица,12,0)</f>
        <v>#N/A</v>
      </c>
      <c r="D969" s="456"/>
      <c r="K969" s="365" t="str">
        <f t="shared" si="156"/>
        <v/>
      </c>
    </row>
    <row r="970" spans="1:11" hidden="1" x14ac:dyDescent="0.25">
      <c r="A970" s="389">
        <v>4</v>
      </c>
      <c r="B970" s="390" t="s">
        <v>59</v>
      </c>
      <c r="C970" s="455" t="e">
        <f>VLOOKUP($F$38,таблица,13,0)</f>
        <v>#N/A</v>
      </c>
      <c r="D970" s="456"/>
      <c r="K970" s="365" t="str">
        <f t="shared" si="156"/>
        <v/>
      </c>
    </row>
    <row r="971" spans="1:11" hidden="1" x14ac:dyDescent="0.25">
      <c r="A971" s="389">
        <v>5</v>
      </c>
      <c r="B971" s="390" t="s">
        <v>14</v>
      </c>
      <c r="C971" s="455" t="e">
        <f>VLOOKUP($F$38,таблица,14,0)</f>
        <v>#N/A</v>
      </c>
      <c r="D971" s="456"/>
      <c r="K971" s="365" t="str">
        <f t="shared" si="156"/>
        <v/>
      </c>
    </row>
    <row r="972" spans="1:11" hidden="1" x14ac:dyDescent="0.25">
      <c r="A972" s="389">
        <v>6</v>
      </c>
      <c r="B972" s="390" t="s">
        <v>23</v>
      </c>
      <c r="C972" s="455" t="e">
        <f>VLOOKUP($F$38,таблица,18,0)</f>
        <v>#N/A</v>
      </c>
      <c r="D972" s="456"/>
      <c r="K972" s="365" t="str">
        <f t="shared" si="156"/>
        <v/>
      </c>
    </row>
    <row r="973" spans="1:11" hidden="1" x14ac:dyDescent="0.25">
      <c r="A973" s="389">
        <v>7</v>
      </c>
      <c r="B973" s="390" t="s">
        <v>156</v>
      </c>
      <c r="C973" s="455" t="e">
        <f>VLOOKUP($F$38,таблица,19,0)+VLOOKUP($F$38,таблица,21,0)+VLOOKUP($F$38,таблица,22,0)+VLOOKUP($F$38,таблица,23,0)+VLOOKUP($F$38,таблица,24,0)+VLOOKUP($F$38,таблица,25,0)+VLOOKUP($F$38,таблица,26,0)</f>
        <v>#N/A</v>
      </c>
      <c r="D973" s="456"/>
      <c r="K973" s="365" t="str">
        <f t="shared" si="156"/>
        <v/>
      </c>
    </row>
    <row r="974" spans="1:11" hidden="1" x14ac:dyDescent="0.25">
      <c r="A974" s="389">
        <v>8</v>
      </c>
      <c r="B974" s="390" t="s">
        <v>101</v>
      </c>
      <c r="C974" s="455" t="e">
        <f>VLOOKUP($F$38,таблица,31,0)</f>
        <v>#N/A</v>
      </c>
      <c r="D974" s="456"/>
      <c r="K974" s="365" t="str">
        <f t="shared" si="156"/>
        <v/>
      </c>
    </row>
    <row r="975" spans="1:11" hidden="1" x14ac:dyDescent="0.25">
      <c r="A975" s="389">
        <v>9</v>
      </c>
      <c r="B975" s="390" t="s">
        <v>241</v>
      </c>
      <c r="C975" s="455" t="e">
        <f>SUM(C967:D974)</f>
        <v>#N/A</v>
      </c>
      <c r="D975" s="456"/>
      <c r="K975" s="365" t="str">
        <f t="shared" si="156"/>
        <v/>
      </c>
    </row>
    <row r="976" spans="1:11" hidden="1" x14ac:dyDescent="0.25">
      <c r="A976" s="464" t="s">
        <v>231</v>
      </c>
      <c r="B976" s="464"/>
      <c r="C976" s="464"/>
      <c r="D976" s="464"/>
      <c r="K976" s="365" t="str">
        <f t="shared" si="156"/>
        <v/>
      </c>
    </row>
    <row r="977" spans="1:11" ht="31.5" hidden="1" x14ac:dyDescent="0.25">
      <c r="A977" s="392" t="s">
        <v>111</v>
      </c>
      <c r="B977" s="385" t="s">
        <v>36</v>
      </c>
      <c r="C977" s="385" t="s">
        <v>221</v>
      </c>
      <c r="D977" s="385" t="s">
        <v>168</v>
      </c>
      <c r="K977" s="365" t="str">
        <f t="shared" si="156"/>
        <v/>
      </c>
    </row>
    <row r="978" spans="1:11" hidden="1" x14ac:dyDescent="0.25">
      <c r="A978" s="389">
        <v>10</v>
      </c>
      <c r="B978" s="389" t="e">
        <f>VLOOKUP((VLOOKUP($F$38,таблица,8,0)),рем_содер,2,0)</f>
        <v>#N/A</v>
      </c>
      <c r="C978" s="389"/>
      <c r="D978" s="390"/>
      <c r="K978" s="365" t="str">
        <f t="shared" si="156"/>
        <v/>
      </c>
    </row>
    <row r="979" spans="1:11" hidden="1" x14ac:dyDescent="0.25">
      <c r="A979" s="389" t="e">
        <f>IF(D979=0,0,A978+1)</f>
        <v>#N/A</v>
      </c>
      <c r="B979" s="390" t="e">
        <f>CONCATENATE("2015 г. (",CHOOSE(VLOOKUP(F$38,таблица,63,0),"Январь","Февраль","Март","Апрель","Май","Июнь","Июль","Август","Сентябрь","Октябрь","Ноябрь","Декабрь")," - ",CHOOSE(VLOOKUP(F$38,таблица,64,0),"Январь","Февраль","Март","Апрель","Май","Июнь","Июль","Август","Сентябрь","Октябрь","Ноябрь","Декабрь"),")")</f>
        <v>#N/A</v>
      </c>
      <c r="C979" s="389" t="s">
        <v>222</v>
      </c>
      <c r="D979" s="417" t="e">
        <f>IF(D981=0,0,VLOOKUP($F$38,таблица,69,0)*100+100)</f>
        <v>#N/A</v>
      </c>
      <c r="K979" s="365" t="e">
        <f>IF(D979=0,"",1)</f>
        <v>#N/A</v>
      </c>
    </row>
    <row r="980" spans="1:11" hidden="1" x14ac:dyDescent="0.25">
      <c r="A980" s="389" t="e">
        <f>IF(D980=0,0,IF(D979=0,A978+1,A979+1))</f>
        <v>#N/A</v>
      </c>
      <c r="B980" s="390" t="e">
        <f>CONCATENATE("2016 г. (",CHOOSE(VLOOKUP(F$38,таблица,65,0),"Январь","Февраль","Март","Апрель","Май","Июнь","Июль","Август","Сентябрь","Октябрь","Ноябрь","Декабрь")," - ",CHOOSE(VLOOKUP(F$38,таблица,66,0),"Январь","Февраль","Март","Апрель","Май","Июнь","Июль","Август","Сентябрь","Октябрь","Ноябрь","Декабрь"),")")</f>
        <v>#N/A</v>
      </c>
      <c r="C980" s="389" t="s">
        <v>222</v>
      </c>
      <c r="D980" s="417" t="e">
        <f>IF(D982=0,0,VLOOKUP($F$38,таблица,70,0)*100+100)</f>
        <v>#N/A</v>
      </c>
      <c r="K980" s="365" t="e">
        <f t="shared" ref="K980:K982" si="157">IF(D980=0,"",1)</f>
        <v>#N/A</v>
      </c>
    </row>
    <row r="981" spans="1:11" hidden="1" x14ac:dyDescent="0.25">
      <c r="A981" s="389" t="e">
        <f>IF(D981=0,0,IF(D980=0,A979+1,A980+1))</f>
        <v>#N/A</v>
      </c>
      <c r="B981" s="390" t="s">
        <v>223</v>
      </c>
      <c r="C981" s="389" t="s">
        <v>224</v>
      </c>
      <c r="D981" s="394" t="e">
        <f>VLOOKUP($F$38,таблица,46,0)</f>
        <v>#N/A</v>
      </c>
      <c r="K981" s="365" t="e">
        <f t="shared" si="157"/>
        <v>#N/A</v>
      </c>
    </row>
    <row r="982" spans="1:11" hidden="1" x14ac:dyDescent="0.25">
      <c r="A982" s="389" t="e">
        <f>IF(D982=0,0,IF(D981=0,A980+1,A981+1))</f>
        <v>#N/A</v>
      </c>
      <c r="B982" s="390" t="s">
        <v>351</v>
      </c>
      <c r="C982" s="389" t="s">
        <v>224</v>
      </c>
      <c r="D982" s="394" t="e">
        <f>VLOOKUP($F$38,таблица,56,0)</f>
        <v>#N/A</v>
      </c>
      <c r="K982" s="365" t="e">
        <f t="shared" si="157"/>
        <v>#N/A</v>
      </c>
    </row>
    <row r="983" spans="1:11" hidden="1" x14ac:dyDescent="0.25">
      <c r="A983" s="464" t="s">
        <v>225</v>
      </c>
      <c r="B983" s="464"/>
      <c r="C983" s="464"/>
      <c r="D983" s="464"/>
      <c r="K983" s="365" t="str">
        <f>IF($F$38=0,"",1)</f>
        <v/>
      </c>
    </row>
    <row r="984" spans="1:11" ht="31.5" hidden="1" x14ac:dyDescent="0.25">
      <c r="A984" s="389" t="e">
        <f>IF(D984=0,0,IF(D982=0,IF(D981=0,A978+1,A981+1),A982+1))</f>
        <v>#N/A</v>
      </c>
      <c r="B984" s="395" t="s">
        <v>275</v>
      </c>
      <c r="C984" s="389" t="s">
        <v>224</v>
      </c>
      <c r="D984" s="394" t="e">
        <f>SUM(VLOOKUP($F$38,таблица,41,0),D981)</f>
        <v>#N/A</v>
      </c>
      <c r="E984" s="365"/>
      <c r="K984" s="365" t="e">
        <f t="shared" ref="K984:K990" si="158">IF(D984=0,"",1)</f>
        <v>#N/A</v>
      </c>
    </row>
    <row r="985" spans="1:11" hidden="1" x14ac:dyDescent="0.25">
      <c r="A985" s="389" t="e">
        <f>IF(D985=0,0,A984+1)</f>
        <v>#N/A</v>
      </c>
      <c r="B985" s="395" t="s">
        <v>227</v>
      </c>
      <c r="C985" s="389" t="s">
        <v>224</v>
      </c>
      <c r="D985" s="394" t="e">
        <f>VLOOKUP($F$38,таблица,51,0)</f>
        <v>#N/A</v>
      </c>
      <c r="E985" s="365"/>
      <c r="K985" s="365" t="e">
        <f t="shared" si="158"/>
        <v>#N/A</v>
      </c>
    </row>
    <row r="986" spans="1:11" hidden="1" x14ac:dyDescent="0.25">
      <c r="A986" s="389" t="e">
        <f>IF(D986=0,0,A985+1)</f>
        <v>#N/A</v>
      </c>
      <c r="B986" s="395" t="s">
        <v>274</v>
      </c>
      <c r="C986" s="389" t="s">
        <v>224</v>
      </c>
      <c r="D986" s="397" t="e">
        <f>SUM(D984:D985)</f>
        <v>#N/A</v>
      </c>
      <c r="E986" s="391" t="e">
        <f>VLOOKUP($F$38,таблица,71,0)</f>
        <v>#N/A</v>
      </c>
      <c r="K986" s="365" t="e">
        <f t="shared" si="158"/>
        <v>#N/A</v>
      </c>
    </row>
    <row r="987" spans="1:11" ht="31.5" hidden="1" x14ac:dyDescent="0.25">
      <c r="A987" s="389" t="e">
        <f>IF(D987=0,0,IF(D986=0,IF(D982=0,A978+1,A982+1),A986+1))</f>
        <v>#N/A</v>
      </c>
      <c r="B987" s="395" t="s">
        <v>349</v>
      </c>
      <c r="C987" s="389" t="s">
        <v>224</v>
      </c>
      <c r="D987" s="394" t="e">
        <f>VLOOKUP($F$38,таблица,36,0)-VLOOKUP($F$38,таблица,41,0)+D982</f>
        <v>#N/A</v>
      </c>
      <c r="K987" s="365" t="e">
        <f t="shared" si="158"/>
        <v>#N/A</v>
      </c>
    </row>
    <row r="988" spans="1:11" hidden="1" x14ac:dyDescent="0.25">
      <c r="A988" s="389" t="e">
        <f>IF(D988=0,0,A987+1)</f>
        <v>#N/A</v>
      </c>
      <c r="B988" s="395" t="s">
        <v>227</v>
      </c>
      <c r="C988" s="389" t="s">
        <v>224</v>
      </c>
      <c r="D988" s="394" t="e">
        <f>VLOOKUP($F$38,таблица,61,0)</f>
        <v>#N/A</v>
      </c>
      <c r="K988" s="365" t="e">
        <f t="shared" si="158"/>
        <v>#N/A</v>
      </c>
    </row>
    <row r="989" spans="1:11" hidden="1" x14ac:dyDescent="0.25">
      <c r="A989" s="389" t="e">
        <f>IF(D989=0,0,A988+1)</f>
        <v>#N/A</v>
      </c>
      <c r="B989" s="395" t="s">
        <v>350</v>
      </c>
      <c r="C989" s="389" t="s">
        <v>224</v>
      </c>
      <c r="D989" s="397" t="e">
        <f>SUM(D987:D988)</f>
        <v>#N/A</v>
      </c>
      <c r="E989" s="391" t="e">
        <f>VLOOKUP($F$38,таблица,72,0)</f>
        <v>#N/A</v>
      </c>
      <c r="K989" s="365" t="e">
        <f t="shared" si="158"/>
        <v>#N/A</v>
      </c>
    </row>
    <row r="990" spans="1:11" hidden="1" x14ac:dyDescent="0.25">
      <c r="A990" s="389" t="e">
        <f>IF(D990=0,0,A989+1)</f>
        <v>#N/A</v>
      </c>
      <c r="B990" s="395" t="s">
        <v>226</v>
      </c>
      <c r="C990" s="389" t="s">
        <v>224</v>
      </c>
      <c r="D990" s="397" t="e">
        <f>IF(OR(D986=0,D989=0),0,D989+D986)</f>
        <v>#N/A</v>
      </c>
      <c r="E990" s="391" t="e">
        <f>VLOOKUP($F$38,таблица,62,0)</f>
        <v>#N/A</v>
      </c>
      <c r="K990" s="365" t="e">
        <f t="shared" si="158"/>
        <v>#N/A</v>
      </c>
    </row>
    <row r="991" spans="1:11" hidden="1" x14ac:dyDescent="0.25">
      <c r="A991" s="400"/>
      <c r="B991" s="400"/>
      <c r="C991" s="400"/>
      <c r="D991" s="401"/>
      <c r="K991" s="365" t="str">
        <f>IF($F$38=0,"",1)</f>
        <v/>
      </c>
    </row>
    <row r="992" spans="1:11" ht="47.25" hidden="1" customHeight="1" x14ac:dyDescent="0.25">
      <c r="A992" s="465" t="str">
        <f>'Анализ стоимости'!$I$58</f>
        <v>Начальник финансового отдела</v>
      </c>
      <c r="B992" s="466"/>
      <c r="C992" s="402"/>
      <c r="D992" s="403" t="str">
        <f>'Анализ стоимости'!$I$59</f>
        <v>А.Ю.Кашуба</v>
      </c>
      <c r="H992" s="405" t="str">
        <f>A992</f>
        <v>Начальник финансового отдела</v>
      </c>
      <c r="K992" s="365" t="str">
        <f>IF($F$38=0,"",1)</f>
        <v/>
      </c>
    </row>
    <row r="993" spans="1:11" hidden="1" x14ac:dyDescent="0.25">
      <c r="A993" s="407"/>
      <c r="B993" s="407"/>
      <c r="C993" s="407"/>
      <c r="D993" s="408"/>
      <c r="K993" s="365" t="str">
        <f>IF($F$38=0,"",1)</f>
        <v/>
      </c>
    </row>
    <row r="994" spans="1:11" hidden="1" x14ac:dyDescent="0.25">
      <c r="A994" s="462">
        <f ca="1">TODAY()</f>
        <v>42101</v>
      </c>
      <c r="B994" s="462"/>
      <c r="C994" s="371"/>
      <c r="D994" s="371"/>
      <c r="K994" s="365" t="str">
        <f>IF($F$38=0,"",1)</f>
        <v/>
      </c>
    </row>
    <row r="995" spans="1:11" hidden="1" x14ac:dyDescent="0.25">
      <c r="A995" s="463" t="s">
        <v>307</v>
      </c>
      <c r="B995" s="463"/>
      <c r="C995" s="463"/>
      <c r="D995" s="463"/>
      <c r="H995" s="369"/>
      <c r="I995" s="369"/>
      <c r="K995" s="365" t="str">
        <f t="shared" ref="K995:K1012" si="159">IF($F$39=0,"",1)</f>
        <v/>
      </c>
    </row>
    <row r="996" spans="1:11" ht="47.25" hidden="1" customHeight="1" x14ac:dyDescent="0.2">
      <c r="A996" s="458" t="e">
        <f>CONCATENATE("Наименование объекта: ",VLOOKUP($F$39,таблица,9,0))</f>
        <v>#N/A</v>
      </c>
      <c r="B996" s="458"/>
      <c r="C996" s="458"/>
      <c r="D996" s="458"/>
      <c r="J996" s="414" t="e">
        <f>A996</f>
        <v>#N/A</v>
      </c>
      <c r="K996" s="365" t="str">
        <f t="shared" si="159"/>
        <v/>
      </c>
    </row>
    <row r="997" spans="1:11" hidden="1" x14ac:dyDescent="0.25">
      <c r="A997" s="383"/>
      <c r="B997" s="372"/>
      <c r="C997" s="372"/>
      <c r="D997" s="372"/>
      <c r="K997" s="365" t="str">
        <f t="shared" si="159"/>
        <v/>
      </c>
    </row>
    <row r="998" spans="1:11" hidden="1" x14ac:dyDescent="0.25">
      <c r="A998" s="415" t="s">
        <v>218</v>
      </c>
      <c r="B998" s="378"/>
      <c r="C998" s="378"/>
      <c r="D998" s="378"/>
      <c r="K998" s="365" t="str">
        <f t="shared" si="159"/>
        <v/>
      </c>
    </row>
    <row r="999" spans="1:11" hidden="1" x14ac:dyDescent="0.25">
      <c r="A999" s="459" t="s">
        <v>219</v>
      </c>
      <c r="B999" s="459"/>
      <c r="C999" s="459"/>
      <c r="D999" s="459"/>
      <c r="K999" s="365" t="str">
        <f t="shared" si="159"/>
        <v/>
      </c>
    </row>
    <row r="1000" spans="1:11" ht="31.5" hidden="1" x14ac:dyDescent="0.25">
      <c r="A1000" s="385" t="s">
        <v>111</v>
      </c>
      <c r="B1000" s="385" t="s">
        <v>167</v>
      </c>
      <c r="C1000" s="460" t="e">
        <f>CONCATENATE("Стоимость  согласно сметной документации (руб.) в текущих ценах по состоянию на ",VLOOKUP($F$39,таблица,5,0)," г.")</f>
        <v>#N/A</v>
      </c>
      <c r="D1000" s="461"/>
      <c r="I1000" s="386" t="e">
        <f>C1000</f>
        <v>#N/A</v>
      </c>
      <c r="K1000" s="365" t="str">
        <f t="shared" si="159"/>
        <v/>
      </c>
    </row>
    <row r="1001" spans="1:11" hidden="1" x14ac:dyDescent="0.25">
      <c r="A1001" s="389">
        <v>1</v>
      </c>
      <c r="B1001" s="390" t="s">
        <v>68</v>
      </c>
      <c r="C1001" s="455" t="e">
        <f>VLOOKUP($F$39,таблица,10,0)</f>
        <v>#N/A</v>
      </c>
      <c r="D1001" s="456"/>
      <c r="K1001" s="365" t="str">
        <f t="shared" si="159"/>
        <v/>
      </c>
    </row>
    <row r="1002" spans="1:11" hidden="1" x14ac:dyDescent="0.25">
      <c r="A1002" s="389">
        <v>2</v>
      </c>
      <c r="B1002" s="390" t="s">
        <v>58</v>
      </c>
      <c r="C1002" s="455" t="e">
        <f>VLOOKUP($F$39,таблица,11,0)</f>
        <v>#N/A</v>
      </c>
      <c r="D1002" s="456"/>
      <c r="K1002" s="365" t="str">
        <f t="shared" si="159"/>
        <v/>
      </c>
    </row>
    <row r="1003" spans="1:11" ht="31.5" hidden="1" x14ac:dyDescent="0.25">
      <c r="A1003" s="389">
        <v>3</v>
      </c>
      <c r="B1003" s="390" t="s">
        <v>8</v>
      </c>
      <c r="C1003" s="455" t="e">
        <f>VLOOKUP($F$39,таблица,12,0)</f>
        <v>#N/A</v>
      </c>
      <c r="D1003" s="456"/>
      <c r="K1003" s="365" t="str">
        <f t="shared" si="159"/>
        <v/>
      </c>
    </row>
    <row r="1004" spans="1:11" hidden="1" x14ac:dyDescent="0.25">
      <c r="A1004" s="389">
        <v>4</v>
      </c>
      <c r="B1004" s="390" t="s">
        <v>59</v>
      </c>
      <c r="C1004" s="455" t="e">
        <f>VLOOKUP($F$39,таблица,13,0)</f>
        <v>#N/A</v>
      </c>
      <c r="D1004" s="456"/>
      <c r="K1004" s="365" t="str">
        <f t="shared" si="159"/>
        <v/>
      </c>
    </row>
    <row r="1005" spans="1:11" hidden="1" x14ac:dyDescent="0.25">
      <c r="A1005" s="389">
        <v>5</v>
      </c>
      <c r="B1005" s="390" t="s">
        <v>14</v>
      </c>
      <c r="C1005" s="455" t="e">
        <f>VLOOKUP($F$39,таблица,14,0)</f>
        <v>#N/A</v>
      </c>
      <c r="D1005" s="456"/>
      <c r="K1005" s="365" t="str">
        <f t="shared" si="159"/>
        <v/>
      </c>
    </row>
    <row r="1006" spans="1:11" hidden="1" x14ac:dyDescent="0.25">
      <c r="A1006" s="389">
        <v>6</v>
      </c>
      <c r="B1006" s="390" t="s">
        <v>23</v>
      </c>
      <c r="C1006" s="455" t="e">
        <f>VLOOKUP($F$39,таблица,18,0)</f>
        <v>#N/A</v>
      </c>
      <c r="D1006" s="456"/>
      <c r="K1006" s="365" t="str">
        <f t="shared" si="159"/>
        <v/>
      </c>
    </row>
    <row r="1007" spans="1:11" hidden="1" x14ac:dyDescent="0.25">
      <c r="A1007" s="389">
        <v>7</v>
      </c>
      <c r="B1007" s="390" t="s">
        <v>156</v>
      </c>
      <c r="C1007" s="455" t="e">
        <f>VLOOKUP($F$39,таблица,19,0)+VLOOKUP($F$39,таблица,21,0)+VLOOKUP($F$39,таблица,22,0)+VLOOKUP($F$39,таблица,23,0)+VLOOKUP($F$39,таблица,24,0)+VLOOKUP($F$39,таблица,25,0)+VLOOKUP($F$39,таблица,26,0)</f>
        <v>#N/A</v>
      </c>
      <c r="D1007" s="456"/>
      <c r="K1007" s="365" t="str">
        <f t="shared" si="159"/>
        <v/>
      </c>
    </row>
    <row r="1008" spans="1:11" hidden="1" x14ac:dyDescent="0.25">
      <c r="A1008" s="389">
        <v>8</v>
      </c>
      <c r="B1008" s="390" t="s">
        <v>101</v>
      </c>
      <c r="C1008" s="455" t="e">
        <f>VLOOKUP($F$39,таблица,31,0)</f>
        <v>#N/A</v>
      </c>
      <c r="D1008" s="456"/>
      <c r="K1008" s="365" t="str">
        <f t="shared" si="159"/>
        <v/>
      </c>
    </row>
    <row r="1009" spans="1:11" hidden="1" x14ac:dyDescent="0.25">
      <c r="A1009" s="389">
        <v>9</v>
      </c>
      <c r="B1009" s="390" t="s">
        <v>241</v>
      </c>
      <c r="C1009" s="455" t="e">
        <f>SUM(C1001:D1008)</f>
        <v>#N/A</v>
      </c>
      <c r="D1009" s="456"/>
      <c r="K1009" s="365" t="str">
        <f t="shared" si="159"/>
        <v/>
      </c>
    </row>
    <row r="1010" spans="1:11" hidden="1" x14ac:dyDescent="0.25">
      <c r="A1010" s="464" t="s">
        <v>231</v>
      </c>
      <c r="B1010" s="464"/>
      <c r="C1010" s="464"/>
      <c r="D1010" s="464"/>
      <c r="K1010" s="365" t="str">
        <f t="shared" si="159"/>
        <v/>
      </c>
    </row>
    <row r="1011" spans="1:11" ht="31.5" hidden="1" x14ac:dyDescent="0.25">
      <c r="A1011" s="392" t="s">
        <v>111</v>
      </c>
      <c r="B1011" s="385" t="s">
        <v>36</v>
      </c>
      <c r="C1011" s="385" t="s">
        <v>221</v>
      </c>
      <c r="D1011" s="385" t="s">
        <v>168</v>
      </c>
      <c r="K1011" s="365" t="str">
        <f t="shared" si="159"/>
        <v/>
      </c>
    </row>
    <row r="1012" spans="1:11" hidden="1" x14ac:dyDescent="0.25">
      <c r="A1012" s="389">
        <v>10</v>
      </c>
      <c r="B1012" s="389" t="e">
        <f>VLOOKUP((VLOOKUP($F$39,таблица,8,0)),рем_содер,2,0)</f>
        <v>#N/A</v>
      </c>
      <c r="C1012" s="389"/>
      <c r="D1012" s="390"/>
      <c r="K1012" s="365" t="str">
        <f t="shared" si="159"/>
        <v/>
      </c>
    </row>
    <row r="1013" spans="1:11" hidden="1" x14ac:dyDescent="0.25">
      <c r="A1013" s="389" t="e">
        <f>IF(D1013=0,0,A1012+1)</f>
        <v>#N/A</v>
      </c>
      <c r="B1013" s="390" t="e">
        <f>CONCATENATE("2015 г. (",CHOOSE(VLOOKUP(F$39,таблица,63,0),"Январь","Февраль","Март","Апрель","Май","Июнь","Июль","Август","Сентябрь","Октябрь","Ноябрь","Декабрь")," - ",CHOOSE(VLOOKUP(F$39,таблица,64,0),"Январь","Февраль","Март","Апрель","Май","Июнь","Июль","Август","Сентябрь","Октябрь","Ноябрь","Декабрь"),")")</f>
        <v>#N/A</v>
      </c>
      <c r="C1013" s="389" t="s">
        <v>222</v>
      </c>
      <c r="D1013" s="417" t="e">
        <f>IF(D1015=0,0,VLOOKUP($F$39,таблица,69,0)*100+100)</f>
        <v>#N/A</v>
      </c>
      <c r="K1013" s="365" t="e">
        <f>IF(D1013=0,"",1)</f>
        <v>#N/A</v>
      </c>
    </row>
    <row r="1014" spans="1:11" hidden="1" x14ac:dyDescent="0.25">
      <c r="A1014" s="389" t="e">
        <f>IF(D1014=0,0,IF(D1013=0,A1012+1,A1013+1))</f>
        <v>#N/A</v>
      </c>
      <c r="B1014" s="390" t="e">
        <f>CONCATENATE("2016 г. (",CHOOSE(VLOOKUP(F$39,таблица,65,0),"Январь","Февраль","Март","Апрель","Май","Июнь","Июль","Август","Сентябрь","Октябрь","Ноябрь","Декабрь")," - ",CHOOSE(VLOOKUP(F$39,таблица,66,0),"Январь","Февраль","Март","Апрель","Май","Июнь","Июль","Август","Сентябрь","Октябрь","Ноябрь","Декабрь"),")")</f>
        <v>#N/A</v>
      </c>
      <c r="C1014" s="389" t="s">
        <v>222</v>
      </c>
      <c r="D1014" s="417" t="e">
        <f>IF(D1016=0,0,VLOOKUP($F$39,таблица,70,0)*100+100)</f>
        <v>#N/A</v>
      </c>
      <c r="K1014" s="365" t="e">
        <f t="shared" ref="K1014:K1016" si="160">IF(D1014=0,"",1)</f>
        <v>#N/A</v>
      </c>
    </row>
    <row r="1015" spans="1:11" hidden="1" x14ac:dyDescent="0.25">
      <c r="A1015" s="389" t="e">
        <f>IF(D1015=0,0,IF(D1014=0,A1013+1,A1014+1))</f>
        <v>#N/A</v>
      </c>
      <c r="B1015" s="390" t="s">
        <v>223</v>
      </c>
      <c r="C1015" s="389" t="s">
        <v>224</v>
      </c>
      <c r="D1015" s="394" t="e">
        <f>VLOOKUP($F$39,таблица,46,0)</f>
        <v>#N/A</v>
      </c>
      <c r="K1015" s="365" t="e">
        <f t="shared" si="160"/>
        <v>#N/A</v>
      </c>
    </row>
    <row r="1016" spans="1:11" hidden="1" x14ac:dyDescent="0.25">
      <c r="A1016" s="389" t="e">
        <f>IF(D1016=0,0,IF(D1015=0,A1014+1,A1015+1))</f>
        <v>#N/A</v>
      </c>
      <c r="B1016" s="390" t="s">
        <v>351</v>
      </c>
      <c r="C1016" s="389" t="s">
        <v>224</v>
      </c>
      <c r="D1016" s="394" t="e">
        <f>VLOOKUP($F$39,таблица,56,0)</f>
        <v>#N/A</v>
      </c>
      <c r="K1016" s="365" t="e">
        <f t="shared" si="160"/>
        <v>#N/A</v>
      </c>
    </row>
    <row r="1017" spans="1:11" hidden="1" x14ac:dyDescent="0.25">
      <c r="A1017" s="464" t="s">
        <v>225</v>
      </c>
      <c r="B1017" s="464"/>
      <c r="C1017" s="464"/>
      <c r="D1017" s="464"/>
      <c r="K1017" s="365" t="str">
        <f>IF($F$39=0,"",1)</f>
        <v/>
      </c>
    </row>
    <row r="1018" spans="1:11" ht="31.5" hidden="1" x14ac:dyDescent="0.25">
      <c r="A1018" s="389" t="e">
        <f>IF(D1018=0,0,IF(D1016=0,IF(D1015=0,A1012+1,A1015+1),A1016+1))</f>
        <v>#N/A</v>
      </c>
      <c r="B1018" s="395" t="s">
        <v>275</v>
      </c>
      <c r="C1018" s="389" t="s">
        <v>224</v>
      </c>
      <c r="D1018" s="394" t="e">
        <f>SUM(VLOOKUP($F$39,таблица,41,0),D1015)</f>
        <v>#N/A</v>
      </c>
      <c r="E1018" s="365"/>
      <c r="K1018" s="365" t="e">
        <f t="shared" ref="K1018:K1024" si="161">IF(D1018=0,"",1)</f>
        <v>#N/A</v>
      </c>
    </row>
    <row r="1019" spans="1:11" hidden="1" x14ac:dyDescent="0.25">
      <c r="A1019" s="389" t="e">
        <f>IF(D1019=0,0,A1018+1)</f>
        <v>#N/A</v>
      </c>
      <c r="B1019" s="395" t="s">
        <v>227</v>
      </c>
      <c r="C1019" s="389" t="s">
        <v>224</v>
      </c>
      <c r="D1019" s="394" t="e">
        <f>VLOOKUP($F$39,таблица,51,0)</f>
        <v>#N/A</v>
      </c>
      <c r="E1019" s="365"/>
      <c r="K1019" s="365" t="e">
        <f t="shared" si="161"/>
        <v>#N/A</v>
      </c>
    </row>
    <row r="1020" spans="1:11" hidden="1" x14ac:dyDescent="0.25">
      <c r="A1020" s="389" t="e">
        <f>IF(D1020=0,0,A1019+1)</f>
        <v>#N/A</v>
      </c>
      <c r="B1020" s="395" t="s">
        <v>274</v>
      </c>
      <c r="C1020" s="389" t="s">
        <v>224</v>
      </c>
      <c r="D1020" s="397" t="e">
        <f>SUM(D1018:D1019)</f>
        <v>#N/A</v>
      </c>
      <c r="E1020" s="391" t="e">
        <f>VLOOKUP($F$39,таблица,71,0)</f>
        <v>#N/A</v>
      </c>
      <c r="K1020" s="365" t="e">
        <f t="shared" si="161"/>
        <v>#N/A</v>
      </c>
    </row>
    <row r="1021" spans="1:11" ht="31.5" hidden="1" x14ac:dyDescent="0.25">
      <c r="A1021" s="389" t="e">
        <f>IF(D1021=0,0,IF(D1020=0,IF(D1016=0,A1012+1,A1016+1),A1020+1))</f>
        <v>#N/A</v>
      </c>
      <c r="B1021" s="395" t="s">
        <v>349</v>
      </c>
      <c r="C1021" s="389" t="s">
        <v>224</v>
      </c>
      <c r="D1021" s="394" t="e">
        <f>VLOOKUP($F$39,таблица,36,0)-VLOOKUP($F$39,таблица,41,0)+D1016</f>
        <v>#N/A</v>
      </c>
      <c r="K1021" s="365" t="e">
        <f t="shared" si="161"/>
        <v>#N/A</v>
      </c>
    </row>
    <row r="1022" spans="1:11" hidden="1" x14ac:dyDescent="0.25">
      <c r="A1022" s="389" t="e">
        <f>IF(D1022=0,0,A1021+1)</f>
        <v>#N/A</v>
      </c>
      <c r="B1022" s="395" t="s">
        <v>227</v>
      </c>
      <c r="C1022" s="389" t="s">
        <v>224</v>
      </c>
      <c r="D1022" s="394" t="e">
        <f>VLOOKUP($F$39,таблица,61,0)</f>
        <v>#N/A</v>
      </c>
      <c r="K1022" s="365" t="e">
        <f t="shared" si="161"/>
        <v>#N/A</v>
      </c>
    </row>
    <row r="1023" spans="1:11" hidden="1" x14ac:dyDescent="0.25">
      <c r="A1023" s="389" t="e">
        <f>IF(D1023=0,0,A1022+1)</f>
        <v>#N/A</v>
      </c>
      <c r="B1023" s="395" t="s">
        <v>350</v>
      </c>
      <c r="C1023" s="389" t="s">
        <v>224</v>
      </c>
      <c r="D1023" s="397" t="e">
        <f>SUM(D1021:D1022)</f>
        <v>#N/A</v>
      </c>
      <c r="E1023" s="391" t="e">
        <f>VLOOKUP($F$39,таблица,72,0)</f>
        <v>#N/A</v>
      </c>
      <c r="K1023" s="365" t="e">
        <f t="shared" si="161"/>
        <v>#N/A</v>
      </c>
    </row>
    <row r="1024" spans="1:11" hidden="1" x14ac:dyDescent="0.25">
      <c r="A1024" s="389" t="e">
        <f>IF(D1024=0,0,A1023+1)</f>
        <v>#N/A</v>
      </c>
      <c r="B1024" s="395" t="s">
        <v>226</v>
      </c>
      <c r="C1024" s="389" t="s">
        <v>224</v>
      </c>
      <c r="D1024" s="397" t="e">
        <f>IF(OR(D1020=0,D1023=0),0,D1023+D1020)</f>
        <v>#N/A</v>
      </c>
      <c r="E1024" s="391" t="e">
        <f>VLOOKUP($F$39,таблица,62,0)</f>
        <v>#N/A</v>
      </c>
      <c r="K1024" s="365" t="e">
        <f t="shared" si="161"/>
        <v>#N/A</v>
      </c>
    </row>
    <row r="1025" spans="1:11" hidden="1" x14ac:dyDescent="0.25">
      <c r="A1025" s="400"/>
      <c r="B1025" s="400"/>
      <c r="C1025" s="400"/>
      <c r="D1025" s="401"/>
      <c r="K1025" s="365" t="str">
        <f>IF($F$39=0,"",1)</f>
        <v/>
      </c>
    </row>
    <row r="1026" spans="1:11" ht="47.25" hidden="1" customHeight="1" x14ac:dyDescent="0.25">
      <c r="A1026" s="465" t="str">
        <f>'Анализ стоимости'!$I$58</f>
        <v>Начальник финансового отдела</v>
      </c>
      <c r="B1026" s="466"/>
      <c r="C1026" s="402"/>
      <c r="D1026" s="403" t="str">
        <f>'Анализ стоимости'!$I$59</f>
        <v>А.Ю.Кашуба</v>
      </c>
      <c r="H1026" s="405" t="str">
        <f>A1026</f>
        <v>Начальник финансового отдела</v>
      </c>
      <c r="K1026" s="365" t="str">
        <f>IF($F$39=0,"",1)</f>
        <v/>
      </c>
    </row>
    <row r="1027" spans="1:11" hidden="1" x14ac:dyDescent="0.25">
      <c r="A1027" s="407"/>
      <c r="B1027" s="407"/>
      <c r="C1027" s="407"/>
      <c r="D1027" s="408"/>
      <c r="K1027" s="365" t="str">
        <f>IF($F$39=0,"",1)</f>
        <v/>
      </c>
    </row>
    <row r="1028" spans="1:11" hidden="1" x14ac:dyDescent="0.25">
      <c r="A1028" s="462">
        <f ca="1">TODAY()</f>
        <v>42101</v>
      </c>
      <c r="B1028" s="462"/>
      <c r="C1028" s="371"/>
      <c r="D1028" s="371"/>
      <c r="K1028" s="365" t="str">
        <f>IF($F$39=0,"",1)</f>
        <v/>
      </c>
    </row>
    <row r="1029" spans="1:11" hidden="1" x14ac:dyDescent="0.25">
      <c r="A1029" s="463" t="s">
        <v>308</v>
      </c>
      <c r="B1029" s="463"/>
      <c r="C1029" s="463"/>
      <c r="D1029" s="463"/>
      <c r="H1029" s="369"/>
      <c r="I1029" s="369"/>
      <c r="K1029" s="365" t="str">
        <f t="shared" ref="K1029:K1046" si="162">IF($F$40=0,"",1)</f>
        <v/>
      </c>
    </row>
    <row r="1030" spans="1:11" ht="47.25" hidden="1" customHeight="1" x14ac:dyDescent="0.2">
      <c r="A1030" s="458" t="e">
        <f>CONCATENATE("Наименование объекта: ",VLOOKUP($F$40,таблица,9,0))</f>
        <v>#N/A</v>
      </c>
      <c r="B1030" s="458"/>
      <c r="C1030" s="458"/>
      <c r="D1030" s="458"/>
      <c r="J1030" s="414" t="e">
        <f>A1030</f>
        <v>#N/A</v>
      </c>
      <c r="K1030" s="365" t="str">
        <f t="shared" si="162"/>
        <v/>
      </c>
    </row>
    <row r="1031" spans="1:11" hidden="1" x14ac:dyDescent="0.25">
      <c r="A1031" s="383"/>
      <c r="B1031" s="372"/>
      <c r="C1031" s="372"/>
      <c r="D1031" s="372"/>
      <c r="K1031" s="365" t="str">
        <f t="shared" si="162"/>
        <v/>
      </c>
    </row>
    <row r="1032" spans="1:11" hidden="1" x14ac:dyDescent="0.25">
      <c r="A1032" s="415" t="s">
        <v>218</v>
      </c>
      <c r="B1032" s="378"/>
      <c r="C1032" s="378"/>
      <c r="D1032" s="378"/>
      <c r="K1032" s="365" t="str">
        <f t="shared" si="162"/>
        <v/>
      </c>
    </row>
    <row r="1033" spans="1:11" hidden="1" x14ac:dyDescent="0.25">
      <c r="A1033" s="459" t="s">
        <v>219</v>
      </c>
      <c r="B1033" s="459"/>
      <c r="C1033" s="459"/>
      <c r="D1033" s="459"/>
      <c r="K1033" s="365" t="str">
        <f t="shared" si="162"/>
        <v/>
      </c>
    </row>
    <row r="1034" spans="1:11" ht="31.5" hidden="1" x14ac:dyDescent="0.25">
      <c r="A1034" s="385" t="s">
        <v>111</v>
      </c>
      <c r="B1034" s="385" t="s">
        <v>167</v>
      </c>
      <c r="C1034" s="460" t="e">
        <f>CONCATENATE("Стоимость  согласно сметной документации (руб.) в текущих ценах по состоянию на ",VLOOKUP($F$40,таблица,5,0)," г.")</f>
        <v>#N/A</v>
      </c>
      <c r="D1034" s="461"/>
      <c r="I1034" s="386" t="e">
        <f>C1034</f>
        <v>#N/A</v>
      </c>
      <c r="K1034" s="365" t="str">
        <f t="shared" si="162"/>
        <v/>
      </c>
    </row>
    <row r="1035" spans="1:11" hidden="1" x14ac:dyDescent="0.25">
      <c r="A1035" s="389">
        <v>1</v>
      </c>
      <c r="B1035" s="390" t="s">
        <v>68</v>
      </c>
      <c r="C1035" s="455" t="e">
        <f>VLOOKUP($F$40,таблица,10,0)</f>
        <v>#N/A</v>
      </c>
      <c r="D1035" s="456"/>
      <c r="K1035" s="365" t="str">
        <f t="shared" si="162"/>
        <v/>
      </c>
    </row>
    <row r="1036" spans="1:11" hidden="1" x14ac:dyDescent="0.25">
      <c r="A1036" s="389">
        <v>2</v>
      </c>
      <c r="B1036" s="390" t="s">
        <v>58</v>
      </c>
      <c r="C1036" s="455" t="e">
        <f>VLOOKUP($F$40,таблица,11,0)</f>
        <v>#N/A</v>
      </c>
      <c r="D1036" s="456"/>
      <c r="K1036" s="365" t="str">
        <f t="shared" si="162"/>
        <v/>
      </c>
    </row>
    <row r="1037" spans="1:11" ht="31.5" hidden="1" x14ac:dyDescent="0.25">
      <c r="A1037" s="389">
        <v>3</v>
      </c>
      <c r="B1037" s="390" t="s">
        <v>8</v>
      </c>
      <c r="C1037" s="455" t="e">
        <f>VLOOKUP($F$40,таблица,12,0)</f>
        <v>#N/A</v>
      </c>
      <c r="D1037" s="456"/>
      <c r="K1037" s="365" t="str">
        <f t="shared" si="162"/>
        <v/>
      </c>
    </row>
    <row r="1038" spans="1:11" hidden="1" x14ac:dyDescent="0.25">
      <c r="A1038" s="389">
        <v>4</v>
      </c>
      <c r="B1038" s="390" t="s">
        <v>59</v>
      </c>
      <c r="C1038" s="455" t="e">
        <f>VLOOKUP($F$40,таблица,13,0)</f>
        <v>#N/A</v>
      </c>
      <c r="D1038" s="456"/>
      <c r="K1038" s="365" t="str">
        <f t="shared" si="162"/>
        <v/>
      </c>
    </row>
    <row r="1039" spans="1:11" hidden="1" x14ac:dyDescent="0.25">
      <c r="A1039" s="389">
        <v>5</v>
      </c>
      <c r="B1039" s="390" t="s">
        <v>14</v>
      </c>
      <c r="C1039" s="455" t="e">
        <f>VLOOKUP($F$40,таблица,14,0)</f>
        <v>#N/A</v>
      </c>
      <c r="D1039" s="456"/>
      <c r="K1039" s="365" t="str">
        <f t="shared" si="162"/>
        <v/>
      </c>
    </row>
    <row r="1040" spans="1:11" hidden="1" x14ac:dyDescent="0.25">
      <c r="A1040" s="389">
        <v>6</v>
      </c>
      <c r="B1040" s="390" t="s">
        <v>23</v>
      </c>
      <c r="C1040" s="455" t="e">
        <f>VLOOKUP($F$40,таблица,18,0)</f>
        <v>#N/A</v>
      </c>
      <c r="D1040" s="456"/>
      <c r="K1040" s="365" t="str">
        <f t="shared" si="162"/>
        <v/>
      </c>
    </row>
    <row r="1041" spans="1:11" hidden="1" x14ac:dyDescent="0.25">
      <c r="A1041" s="389">
        <v>7</v>
      </c>
      <c r="B1041" s="390" t="s">
        <v>156</v>
      </c>
      <c r="C1041" s="455" t="e">
        <f>VLOOKUP($F$40,таблица,19,0)+VLOOKUP($F$40,таблица,21,0)+VLOOKUP($F$40,таблица,22,0)+VLOOKUP($F$40,таблица,23,0)+VLOOKUP($F$40,таблица,24,0)+VLOOKUP($F$40,таблица,25,0)+VLOOKUP($F$40,таблица,26,0)</f>
        <v>#N/A</v>
      </c>
      <c r="D1041" s="456"/>
      <c r="K1041" s="365" t="str">
        <f t="shared" si="162"/>
        <v/>
      </c>
    </row>
    <row r="1042" spans="1:11" hidden="1" x14ac:dyDescent="0.25">
      <c r="A1042" s="389">
        <v>8</v>
      </c>
      <c r="B1042" s="390" t="s">
        <v>101</v>
      </c>
      <c r="C1042" s="455" t="e">
        <f>VLOOKUP($F$40,таблица,31,0)</f>
        <v>#N/A</v>
      </c>
      <c r="D1042" s="456"/>
      <c r="K1042" s="365" t="str">
        <f t="shared" si="162"/>
        <v/>
      </c>
    </row>
    <row r="1043" spans="1:11" hidden="1" x14ac:dyDescent="0.25">
      <c r="A1043" s="389">
        <v>9</v>
      </c>
      <c r="B1043" s="390" t="s">
        <v>241</v>
      </c>
      <c r="C1043" s="455" t="e">
        <f>SUM(C1035:D1042)</f>
        <v>#N/A</v>
      </c>
      <c r="D1043" s="456"/>
      <c r="K1043" s="365" t="str">
        <f t="shared" si="162"/>
        <v/>
      </c>
    </row>
    <row r="1044" spans="1:11" hidden="1" x14ac:dyDescent="0.25">
      <c r="A1044" s="464" t="s">
        <v>231</v>
      </c>
      <c r="B1044" s="464"/>
      <c r="C1044" s="464"/>
      <c r="D1044" s="464"/>
      <c r="K1044" s="365" t="str">
        <f t="shared" si="162"/>
        <v/>
      </c>
    </row>
    <row r="1045" spans="1:11" ht="31.5" hidden="1" x14ac:dyDescent="0.25">
      <c r="A1045" s="392" t="s">
        <v>111</v>
      </c>
      <c r="B1045" s="385" t="s">
        <v>36</v>
      </c>
      <c r="C1045" s="385" t="s">
        <v>221</v>
      </c>
      <c r="D1045" s="385" t="s">
        <v>168</v>
      </c>
      <c r="K1045" s="365" t="str">
        <f t="shared" si="162"/>
        <v/>
      </c>
    </row>
    <row r="1046" spans="1:11" hidden="1" x14ac:dyDescent="0.25">
      <c r="A1046" s="389">
        <v>10</v>
      </c>
      <c r="B1046" s="389" t="e">
        <f>VLOOKUP((VLOOKUP($F$40,таблица,8,0)),рем_содер,2,0)</f>
        <v>#N/A</v>
      </c>
      <c r="C1046" s="389"/>
      <c r="D1046" s="390"/>
      <c r="K1046" s="365" t="str">
        <f t="shared" si="162"/>
        <v/>
      </c>
    </row>
    <row r="1047" spans="1:11" hidden="1" x14ac:dyDescent="0.25">
      <c r="A1047" s="389" t="e">
        <f>IF(D1047=0,0,A1046+1)</f>
        <v>#N/A</v>
      </c>
      <c r="B1047" s="390" t="e">
        <f>CONCATENATE("2015 г. (",CHOOSE(VLOOKUP(F$40,таблица,63,0),"Январь","Февраль","Март","Апрель","Май","Июнь","Июль","Август","Сентябрь","Октябрь","Ноябрь","Декабрь")," - ",CHOOSE(VLOOKUP(F$40,таблица,64,0),"Январь","Февраль","Март","Апрель","Май","Июнь","Июль","Август","Сентябрь","Октябрь","Ноябрь","Декабрь"),")")</f>
        <v>#N/A</v>
      </c>
      <c r="C1047" s="389" t="s">
        <v>222</v>
      </c>
      <c r="D1047" s="417" t="e">
        <f>IF(D1049=0,0,VLOOKUP($F$40,таблица,69,0)*100+100)</f>
        <v>#N/A</v>
      </c>
      <c r="K1047" s="365" t="e">
        <f>IF(D1047=0,"",1)</f>
        <v>#N/A</v>
      </c>
    </row>
    <row r="1048" spans="1:11" hidden="1" x14ac:dyDescent="0.25">
      <c r="A1048" s="389" t="e">
        <f>IF(D1048=0,0,IF(D1047=0,A1046+1,A1047+1))</f>
        <v>#N/A</v>
      </c>
      <c r="B1048" s="390" t="e">
        <f>CONCATENATE("2016 г. (",CHOOSE(VLOOKUP(F$40,таблица,65,0),"Январь","Февраль","Март","Апрель","Май","Июнь","Июль","Август","Сентябрь","Октябрь","Ноябрь","Декабрь")," - ",CHOOSE(VLOOKUP(F$40,таблица,66,0),"Январь","Февраль","Март","Апрель","Май","Июнь","Июль","Август","Сентябрь","Октябрь","Ноябрь","Декабрь"),")")</f>
        <v>#N/A</v>
      </c>
      <c r="C1048" s="389" t="s">
        <v>222</v>
      </c>
      <c r="D1048" s="417" t="e">
        <f>IF(D1050=0,0,VLOOKUP($F$40,таблица,70,0)*100+100)</f>
        <v>#N/A</v>
      </c>
      <c r="K1048" s="365" t="e">
        <f t="shared" ref="K1048:K1050" si="163">IF(D1048=0,"",1)</f>
        <v>#N/A</v>
      </c>
    </row>
    <row r="1049" spans="1:11" hidden="1" x14ac:dyDescent="0.25">
      <c r="A1049" s="389" t="e">
        <f>IF(D1049=0,0,IF(D1048=0,A1047+1,A1048+1))</f>
        <v>#N/A</v>
      </c>
      <c r="B1049" s="390" t="s">
        <v>223</v>
      </c>
      <c r="C1049" s="389" t="s">
        <v>224</v>
      </c>
      <c r="D1049" s="394" t="e">
        <f>VLOOKUP($F$40,таблица,46,0)</f>
        <v>#N/A</v>
      </c>
      <c r="K1049" s="365" t="e">
        <f t="shared" si="163"/>
        <v>#N/A</v>
      </c>
    </row>
    <row r="1050" spans="1:11" hidden="1" x14ac:dyDescent="0.25">
      <c r="A1050" s="389" t="e">
        <f>IF(D1050=0,0,IF(D1049=0,A1048+1,A1049+1))</f>
        <v>#N/A</v>
      </c>
      <c r="B1050" s="390" t="s">
        <v>351</v>
      </c>
      <c r="C1050" s="389" t="s">
        <v>224</v>
      </c>
      <c r="D1050" s="394" t="e">
        <f>VLOOKUP($F$40,таблица,56,0)</f>
        <v>#N/A</v>
      </c>
      <c r="K1050" s="365" t="e">
        <f t="shared" si="163"/>
        <v>#N/A</v>
      </c>
    </row>
    <row r="1051" spans="1:11" hidden="1" x14ac:dyDescent="0.25">
      <c r="A1051" s="464" t="s">
        <v>225</v>
      </c>
      <c r="B1051" s="464"/>
      <c r="C1051" s="464"/>
      <c r="D1051" s="464"/>
      <c r="K1051" s="365" t="str">
        <f>IF($F$40=0,"",1)</f>
        <v/>
      </c>
    </row>
    <row r="1052" spans="1:11" ht="31.5" hidden="1" x14ac:dyDescent="0.25">
      <c r="A1052" s="389" t="e">
        <f>IF(D1052=0,0,IF(D1050=0,IF(D1049=0,A1046+1,A1049+1),A1050+1))</f>
        <v>#N/A</v>
      </c>
      <c r="B1052" s="395" t="s">
        <v>275</v>
      </c>
      <c r="C1052" s="389" t="s">
        <v>224</v>
      </c>
      <c r="D1052" s="394" t="e">
        <f>SUM(VLOOKUP($F$40,таблица,41,0),D1049)</f>
        <v>#N/A</v>
      </c>
      <c r="E1052" s="365"/>
      <c r="K1052" s="365" t="e">
        <f t="shared" ref="K1052:K1058" si="164">IF(D1052=0,"",1)</f>
        <v>#N/A</v>
      </c>
    </row>
    <row r="1053" spans="1:11" hidden="1" x14ac:dyDescent="0.25">
      <c r="A1053" s="389" t="e">
        <f>IF(D1053=0,0,A1052+1)</f>
        <v>#N/A</v>
      </c>
      <c r="B1053" s="395" t="s">
        <v>227</v>
      </c>
      <c r="C1053" s="389" t="s">
        <v>224</v>
      </c>
      <c r="D1053" s="394" t="e">
        <f>VLOOKUP($F$40,таблица,51,0)</f>
        <v>#N/A</v>
      </c>
      <c r="E1053" s="365"/>
      <c r="K1053" s="365" t="e">
        <f t="shared" si="164"/>
        <v>#N/A</v>
      </c>
    </row>
    <row r="1054" spans="1:11" hidden="1" x14ac:dyDescent="0.25">
      <c r="A1054" s="389" t="e">
        <f>IF(D1054=0,0,A1053+1)</f>
        <v>#N/A</v>
      </c>
      <c r="B1054" s="395" t="s">
        <v>274</v>
      </c>
      <c r="C1054" s="389" t="s">
        <v>224</v>
      </c>
      <c r="D1054" s="397" t="e">
        <f>SUM(D1052:D1053)</f>
        <v>#N/A</v>
      </c>
      <c r="E1054" s="391" t="e">
        <f>VLOOKUP($F$40,таблица,71,0)</f>
        <v>#N/A</v>
      </c>
      <c r="K1054" s="365" t="e">
        <f t="shared" si="164"/>
        <v>#N/A</v>
      </c>
    </row>
    <row r="1055" spans="1:11" ht="31.5" hidden="1" x14ac:dyDescent="0.25">
      <c r="A1055" s="389" t="e">
        <f>IF(D1055=0,0,IF(D1054=0,IF(D1050=0,A1046+1,A1050+1),A1054+1))</f>
        <v>#N/A</v>
      </c>
      <c r="B1055" s="395" t="s">
        <v>349</v>
      </c>
      <c r="C1055" s="389" t="s">
        <v>224</v>
      </c>
      <c r="D1055" s="394" t="e">
        <f>VLOOKUP($F$40,таблица,36,0)-VLOOKUP($F$40,таблица,41,0)+D1050</f>
        <v>#N/A</v>
      </c>
      <c r="K1055" s="365" t="e">
        <f t="shared" si="164"/>
        <v>#N/A</v>
      </c>
    </row>
    <row r="1056" spans="1:11" hidden="1" x14ac:dyDescent="0.25">
      <c r="A1056" s="389" t="e">
        <f>IF(D1056=0,0,A1055+1)</f>
        <v>#N/A</v>
      </c>
      <c r="B1056" s="395" t="s">
        <v>227</v>
      </c>
      <c r="C1056" s="389" t="s">
        <v>224</v>
      </c>
      <c r="D1056" s="394" t="e">
        <f>VLOOKUP($F$40,таблица,61,0)</f>
        <v>#N/A</v>
      </c>
      <c r="K1056" s="365" t="e">
        <f t="shared" si="164"/>
        <v>#N/A</v>
      </c>
    </row>
    <row r="1057" spans="1:11" hidden="1" x14ac:dyDescent="0.25">
      <c r="A1057" s="389" t="e">
        <f>IF(D1057=0,0,A1056+1)</f>
        <v>#N/A</v>
      </c>
      <c r="B1057" s="395" t="s">
        <v>350</v>
      </c>
      <c r="C1057" s="389" t="s">
        <v>224</v>
      </c>
      <c r="D1057" s="397" t="e">
        <f>SUM(D1055:D1056)</f>
        <v>#N/A</v>
      </c>
      <c r="E1057" s="391" t="e">
        <f>VLOOKUP($F$40,таблица,72,0)</f>
        <v>#N/A</v>
      </c>
      <c r="K1057" s="365" t="e">
        <f t="shared" si="164"/>
        <v>#N/A</v>
      </c>
    </row>
    <row r="1058" spans="1:11" hidden="1" x14ac:dyDescent="0.25">
      <c r="A1058" s="389" t="e">
        <f>IF(D1058=0,0,A1057+1)</f>
        <v>#N/A</v>
      </c>
      <c r="B1058" s="395" t="s">
        <v>226</v>
      </c>
      <c r="C1058" s="389" t="s">
        <v>224</v>
      </c>
      <c r="D1058" s="397" t="e">
        <f>IF(OR(D1054=0,D1057=0),0,D1057+D1054)</f>
        <v>#N/A</v>
      </c>
      <c r="E1058" s="391" t="e">
        <f>VLOOKUP($F$40,таблица,62,0)</f>
        <v>#N/A</v>
      </c>
      <c r="K1058" s="365" t="e">
        <f t="shared" si="164"/>
        <v>#N/A</v>
      </c>
    </row>
    <row r="1059" spans="1:11" hidden="1" x14ac:dyDescent="0.25">
      <c r="A1059" s="400"/>
      <c r="B1059" s="400"/>
      <c r="C1059" s="400"/>
      <c r="D1059" s="401"/>
      <c r="K1059" s="365" t="str">
        <f>IF($F$40=0,"",1)</f>
        <v/>
      </c>
    </row>
    <row r="1060" spans="1:11" ht="47.25" hidden="1" customHeight="1" x14ac:dyDescent="0.25">
      <c r="A1060" s="465" t="str">
        <f>'Анализ стоимости'!$I$58</f>
        <v>Начальник финансового отдела</v>
      </c>
      <c r="B1060" s="466"/>
      <c r="C1060" s="402"/>
      <c r="D1060" s="403" t="str">
        <f>'Анализ стоимости'!$I$59</f>
        <v>А.Ю.Кашуба</v>
      </c>
      <c r="H1060" s="405" t="str">
        <f>A1060</f>
        <v>Начальник финансового отдела</v>
      </c>
      <c r="K1060" s="365" t="str">
        <f>IF($F$40=0,"",1)</f>
        <v/>
      </c>
    </row>
    <row r="1061" spans="1:11" hidden="1" x14ac:dyDescent="0.25">
      <c r="A1061" s="407"/>
      <c r="B1061" s="407"/>
      <c r="C1061" s="407"/>
      <c r="D1061" s="408"/>
      <c r="K1061" s="365" t="str">
        <f>IF($F$40=0,"",1)</f>
        <v/>
      </c>
    </row>
    <row r="1062" spans="1:11" hidden="1" x14ac:dyDescent="0.25">
      <c r="A1062" s="462">
        <f ca="1">TODAY()</f>
        <v>42101</v>
      </c>
      <c r="B1062" s="462"/>
      <c r="C1062" s="371"/>
      <c r="D1062" s="371"/>
      <c r="K1062" s="365" t="str">
        <f>IF($F$40=0,"",1)</f>
        <v/>
      </c>
    </row>
    <row r="1063" spans="1:11" hidden="1" x14ac:dyDescent="0.25">
      <c r="A1063" s="463" t="s">
        <v>309</v>
      </c>
      <c r="B1063" s="463"/>
      <c r="C1063" s="463"/>
      <c r="D1063" s="463"/>
      <c r="H1063" s="369"/>
      <c r="I1063" s="369"/>
      <c r="K1063" s="365" t="str">
        <f>IF($F$41=0,"",1)</f>
        <v/>
      </c>
    </row>
    <row r="1064" spans="1:11" ht="47.25" hidden="1" customHeight="1" x14ac:dyDescent="0.2">
      <c r="A1064" s="458" t="e">
        <f>CONCATENATE("Наименование объекта: ",VLOOKUP($F$41,таблица,9,0))</f>
        <v>#N/A</v>
      </c>
      <c r="B1064" s="458"/>
      <c r="C1064" s="458"/>
      <c r="D1064" s="458"/>
      <c r="J1064" s="414" t="e">
        <f>A1064</f>
        <v>#N/A</v>
      </c>
      <c r="K1064" s="365" t="str">
        <f t="shared" ref="K1064:K1080" si="165">IF($F$41=0,"",1)</f>
        <v/>
      </c>
    </row>
    <row r="1065" spans="1:11" hidden="1" x14ac:dyDescent="0.25">
      <c r="A1065" s="383"/>
      <c r="B1065" s="372"/>
      <c r="C1065" s="372"/>
      <c r="D1065" s="372"/>
      <c r="K1065" s="365" t="str">
        <f t="shared" si="165"/>
        <v/>
      </c>
    </row>
    <row r="1066" spans="1:11" hidden="1" x14ac:dyDescent="0.25">
      <c r="A1066" s="415" t="s">
        <v>218</v>
      </c>
      <c r="B1066" s="378"/>
      <c r="C1066" s="378"/>
      <c r="D1066" s="378"/>
      <c r="K1066" s="365" t="str">
        <f t="shared" si="165"/>
        <v/>
      </c>
    </row>
    <row r="1067" spans="1:11" hidden="1" x14ac:dyDescent="0.25">
      <c r="A1067" s="459" t="s">
        <v>219</v>
      </c>
      <c r="B1067" s="459"/>
      <c r="C1067" s="459"/>
      <c r="D1067" s="459"/>
      <c r="K1067" s="365" t="str">
        <f t="shared" si="165"/>
        <v/>
      </c>
    </row>
    <row r="1068" spans="1:11" ht="31.5" hidden="1" x14ac:dyDescent="0.25">
      <c r="A1068" s="385" t="s">
        <v>111</v>
      </c>
      <c r="B1068" s="385" t="s">
        <v>167</v>
      </c>
      <c r="C1068" s="460" t="e">
        <f>CONCATENATE("Стоимость  согласно сметной документации (руб.) в текущих ценах по состоянию на ",VLOOKUP($F$41,таблица,5,0)," г.")</f>
        <v>#N/A</v>
      </c>
      <c r="D1068" s="461"/>
      <c r="I1068" s="386" t="e">
        <f>C1068</f>
        <v>#N/A</v>
      </c>
      <c r="K1068" s="365" t="str">
        <f t="shared" si="165"/>
        <v/>
      </c>
    </row>
    <row r="1069" spans="1:11" hidden="1" x14ac:dyDescent="0.25">
      <c r="A1069" s="389">
        <v>1</v>
      </c>
      <c r="B1069" s="390" t="s">
        <v>68</v>
      </c>
      <c r="C1069" s="455" t="e">
        <f>VLOOKUP($F$41,таблица,10,0)</f>
        <v>#N/A</v>
      </c>
      <c r="D1069" s="456"/>
      <c r="K1069" s="365" t="str">
        <f t="shared" si="165"/>
        <v/>
      </c>
    </row>
    <row r="1070" spans="1:11" hidden="1" x14ac:dyDescent="0.25">
      <c r="A1070" s="389">
        <v>2</v>
      </c>
      <c r="B1070" s="390" t="s">
        <v>58</v>
      </c>
      <c r="C1070" s="455" t="e">
        <f>VLOOKUP($F$41,таблица,11,0)</f>
        <v>#N/A</v>
      </c>
      <c r="D1070" s="456"/>
      <c r="K1070" s="365" t="str">
        <f t="shared" si="165"/>
        <v/>
      </c>
    </row>
    <row r="1071" spans="1:11" ht="31.5" hidden="1" x14ac:dyDescent="0.25">
      <c r="A1071" s="389">
        <v>3</v>
      </c>
      <c r="B1071" s="390" t="s">
        <v>8</v>
      </c>
      <c r="C1071" s="455" t="e">
        <f>VLOOKUP($F$41,таблица,12,0)</f>
        <v>#N/A</v>
      </c>
      <c r="D1071" s="456"/>
      <c r="K1071" s="365" t="str">
        <f t="shared" si="165"/>
        <v/>
      </c>
    </row>
    <row r="1072" spans="1:11" hidden="1" x14ac:dyDescent="0.25">
      <c r="A1072" s="389">
        <v>4</v>
      </c>
      <c r="B1072" s="390" t="s">
        <v>59</v>
      </c>
      <c r="C1072" s="455" t="e">
        <f>VLOOKUP($F$41,таблица,13,0)</f>
        <v>#N/A</v>
      </c>
      <c r="D1072" s="456"/>
      <c r="K1072" s="365" t="str">
        <f t="shared" si="165"/>
        <v/>
      </c>
    </row>
    <row r="1073" spans="1:11" hidden="1" x14ac:dyDescent="0.25">
      <c r="A1073" s="389">
        <v>5</v>
      </c>
      <c r="B1073" s="390" t="s">
        <v>14</v>
      </c>
      <c r="C1073" s="455" t="e">
        <f>VLOOKUP($F$41,таблица,14,0)</f>
        <v>#N/A</v>
      </c>
      <c r="D1073" s="456"/>
      <c r="K1073" s="365" t="str">
        <f t="shared" si="165"/>
        <v/>
      </c>
    </row>
    <row r="1074" spans="1:11" hidden="1" x14ac:dyDescent="0.25">
      <c r="A1074" s="389">
        <v>6</v>
      </c>
      <c r="B1074" s="390" t="s">
        <v>23</v>
      </c>
      <c r="C1074" s="455" t="e">
        <f>VLOOKUP($F$41,таблица,18,0)</f>
        <v>#N/A</v>
      </c>
      <c r="D1074" s="456"/>
      <c r="K1074" s="365" t="str">
        <f t="shared" si="165"/>
        <v/>
      </c>
    </row>
    <row r="1075" spans="1:11" hidden="1" x14ac:dyDescent="0.25">
      <c r="A1075" s="389">
        <v>7</v>
      </c>
      <c r="B1075" s="390" t="s">
        <v>156</v>
      </c>
      <c r="C1075" s="455" t="e">
        <f>VLOOKUP($F$41,таблица,19,0)+VLOOKUP($F$41,таблица,21,0)+VLOOKUP($F$41,таблица,22,0)+VLOOKUP($F$41,таблица,23,0)+VLOOKUP($F$41,таблица,24,0)+VLOOKUP($F$41,таблица,25,0)+VLOOKUP($F$41,таблица,26,0)</f>
        <v>#N/A</v>
      </c>
      <c r="D1075" s="456"/>
      <c r="K1075" s="365" t="str">
        <f t="shared" si="165"/>
        <v/>
      </c>
    </row>
    <row r="1076" spans="1:11" hidden="1" x14ac:dyDescent="0.25">
      <c r="A1076" s="389">
        <v>8</v>
      </c>
      <c r="B1076" s="390" t="s">
        <v>101</v>
      </c>
      <c r="C1076" s="455" t="e">
        <f>VLOOKUP($F$41,таблица,31,0)</f>
        <v>#N/A</v>
      </c>
      <c r="D1076" s="456"/>
      <c r="K1076" s="365" t="str">
        <f t="shared" si="165"/>
        <v/>
      </c>
    </row>
    <row r="1077" spans="1:11" hidden="1" x14ac:dyDescent="0.25">
      <c r="A1077" s="389">
        <v>9</v>
      </c>
      <c r="B1077" s="390" t="s">
        <v>241</v>
      </c>
      <c r="C1077" s="455" t="e">
        <f>SUM(C1069:D1076)</f>
        <v>#N/A</v>
      </c>
      <c r="D1077" s="456"/>
      <c r="K1077" s="365" t="str">
        <f t="shared" si="165"/>
        <v/>
      </c>
    </row>
    <row r="1078" spans="1:11" hidden="1" x14ac:dyDescent="0.25">
      <c r="A1078" s="464" t="s">
        <v>231</v>
      </c>
      <c r="B1078" s="464"/>
      <c r="C1078" s="464"/>
      <c r="D1078" s="464"/>
      <c r="K1078" s="365" t="str">
        <f t="shared" si="165"/>
        <v/>
      </c>
    </row>
    <row r="1079" spans="1:11" ht="31.5" hidden="1" x14ac:dyDescent="0.25">
      <c r="A1079" s="392" t="s">
        <v>111</v>
      </c>
      <c r="B1079" s="385" t="s">
        <v>36</v>
      </c>
      <c r="C1079" s="385" t="s">
        <v>221</v>
      </c>
      <c r="D1079" s="385" t="s">
        <v>168</v>
      </c>
      <c r="K1079" s="365" t="str">
        <f t="shared" si="165"/>
        <v/>
      </c>
    </row>
    <row r="1080" spans="1:11" hidden="1" x14ac:dyDescent="0.25">
      <c r="A1080" s="389">
        <v>10</v>
      </c>
      <c r="B1080" s="389" t="e">
        <f>VLOOKUP((VLOOKUP($F$41,таблица,8,0)),рем_содер,2,0)</f>
        <v>#N/A</v>
      </c>
      <c r="C1080" s="389"/>
      <c r="D1080" s="390"/>
      <c r="K1080" s="365" t="str">
        <f t="shared" si="165"/>
        <v/>
      </c>
    </row>
    <row r="1081" spans="1:11" hidden="1" x14ac:dyDescent="0.25">
      <c r="A1081" s="389" t="e">
        <f>IF(D1081=0,0,A1080+1)</f>
        <v>#N/A</v>
      </c>
      <c r="B1081" s="390" t="e">
        <f>CONCATENATE("2015 г. (",CHOOSE(VLOOKUP(F$41,таблица,63,0),"Январь","Февраль","Март","Апрель","Май","Июнь","Июль","Август","Сентябрь","Октябрь","Ноябрь","Декабрь")," - ",CHOOSE(VLOOKUP(F$41,таблица,64,0),"Январь","Февраль","Март","Апрель","Май","Июнь","Июль","Август","Сентябрь","Октябрь","Ноябрь","Декабрь"),")")</f>
        <v>#N/A</v>
      </c>
      <c r="C1081" s="389" t="s">
        <v>222</v>
      </c>
      <c r="D1081" s="417" t="e">
        <f>IF(D1083=0,0,VLOOKUP($F$41,таблица,69,0)*100+100)</f>
        <v>#N/A</v>
      </c>
      <c r="K1081" s="365" t="e">
        <f>IF(D1081=0,"",1)</f>
        <v>#N/A</v>
      </c>
    </row>
    <row r="1082" spans="1:11" hidden="1" x14ac:dyDescent="0.25">
      <c r="A1082" s="389" t="e">
        <f>IF(D1082=0,0,IF(D1081=0,A1080+1,A1081+1))</f>
        <v>#N/A</v>
      </c>
      <c r="B1082" s="390" t="e">
        <f>CONCATENATE("2016 г. (",CHOOSE(VLOOKUP(F$41,таблица,65,0),"Январь","Февраль","Март","Апрель","Май","Июнь","Июль","Август","Сентябрь","Октябрь","Ноябрь","Декабрь")," - ",CHOOSE(VLOOKUP(F$41,таблица,66,0),"Январь","Февраль","Март","Апрель","Май","Июнь","Июль","Август","Сентябрь","Октябрь","Ноябрь","Декабрь"),")")</f>
        <v>#N/A</v>
      </c>
      <c r="C1082" s="389" t="s">
        <v>222</v>
      </c>
      <c r="D1082" s="417" t="e">
        <f>IF(D1084=0,0,VLOOKUP($F$41,таблица,70,0)*100+100)</f>
        <v>#N/A</v>
      </c>
      <c r="K1082" s="365" t="e">
        <f t="shared" ref="K1082:K1084" si="166">IF(D1082=0,"",1)</f>
        <v>#N/A</v>
      </c>
    </row>
    <row r="1083" spans="1:11" hidden="1" x14ac:dyDescent="0.25">
      <c r="A1083" s="389" t="e">
        <f>IF(D1083=0,0,IF(D1082=0,A1081+1,A1082+1))</f>
        <v>#N/A</v>
      </c>
      <c r="B1083" s="390" t="s">
        <v>223</v>
      </c>
      <c r="C1083" s="389" t="s">
        <v>224</v>
      </c>
      <c r="D1083" s="394" t="e">
        <f>VLOOKUP($F$41,таблица,46,0)</f>
        <v>#N/A</v>
      </c>
      <c r="K1083" s="365" t="e">
        <f t="shared" si="166"/>
        <v>#N/A</v>
      </c>
    </row>
    <row r="1084" spans="1:11" hidden="1" x14ac:dyDescent="0.25">
      <c r="A1084" s="389" t="e">
        <f>IF(D1084=0,0,IF(D1083=0,A1082+1,A1083+1))</f>
        <v>#N/A</v>
      </c>
      <c r="B1084" s="390" t="s">
        <v>351</v>
      </c>
      <c r="C1084" s="389" t="s">
        <v>224</v>
      </c>
      <c r="D1084" s="394" t="e">
        <f>VLOOKUP($F$41,таблица,56,0)</f>
        <v>#N/A</v>
      </c>
      <c r="K1084" s="365" t="e">
        <f t="shared" si="166"/>
        <v>#N/A</v>
      </c>
    </row>
    <row r="1085" spans="1:11" hidden="1" x14ac:dyDescent="0.25">
      <c r="A1085" s="464" t="s">
        <v>225</v>
      </c>
      <c r="B1085" s="464"/>
      <c r="C1085" s="464"/>
      <c r="D1085" s="464"/>
      <c r="K1085" s="365" t="str">
        <f>IF($F$41=0,"",1)</f>
        <v/>
      </c>
    </row>
    <row r="1086" spans="1:11" ht="31.5" hidden="1" x14ac:dyDescent="0.25">
      <c r="A1086" s="389" t="e">
        <f>IF(D1086=0,0,IF(D1084=0,IF(D1083=0,A1080+1,A1083+1),A1084+1))</f>
        <v>#N/A</v>
      </c>
      <c r="B1086" s="395" t="s">
        <v>275</v>
      </c>
      <c r="C1086" s="389" t="s">
        <v>224</v>
      </c>
      <c r="D1086" s="394" t="e">
        <f>SUM(VLOOKUP($F$41,таблица,41,0),D1083)</f>
        <v>#N/A</v>
      </c>
      <c r="E1086" s="365"/>
      <c r="K1086" s="365" t="e">
        <f t="shared" ref="K1086:K1092" si="167">IF(D1086=0,"",1)</f>
        <v>#N/A</v>
      </c>
    </row>
    <row r="1087" spans="1:11" hidden="1" x14ac:dyDescent="0.25">
      <c r="A1087" s="389" t="e">
        <f>IF(D1087=0,0,A1086+1)</f>
        <v>#N/A</v>
      </c>
      <c r="B1087" s="395" t="s">
        <v>227</v>
      </c>
      <c r="C1087" s="389" t="s">
        <v>224</v>
      </c>
      <c r="D1087" s="394" t="e">
        <f>VLOOKUP($F$41,таблица,51,0)</f>
        <v>#N/A</v>
      </c>
      <c r="E1087" s="365"/>
      <c r="K1087" s="365" t="e">
        <f t="shared" si="167"/>
        <v>#N/A</v>
      </c>
    </row>
    <row r="1088" spans="1:11" hidden="1" x14ac:dyDescent="0.25">
      <c r="A1088" s="389" t="e">
        <f>IF(D1088=0,0,A1087+1)</f>
        <v>#N/A</v>
      </c>
      <c r="B1088" s="395" t="s">
        <v>274</v>
      </c>
      <c r="C1088" s="389" t="s">
        <v>224</v>
      </c>
      <c r="D1088" s="397" t="e">
        <f>SUM(D1086:D1087)</f>
        <v>#N/A</v>
      </c>
      <c r="E1088" s="391" t="e">
        <f>VLOOKUP($F$41,таблица,71,0)</f>
        <v>#N/A</v>
      </c>
      <c r="K1088" s="365" t="e">
        <f t="shared" si="167"/>
        <v>#N/A</v>
      </c>
    </row>
    <row r="1089" spans="1:11" ht="31.5" hidden="1" x14ac:dyDescent="0.25">
      <c r="A1089" s="389" t="e">
        <f>IF(D1089=0,0,IF(D1088=0,IF(D1084=0,A1080+1,A1084+1),A1088+1))</f>
        <v>#N/A</v>
      </c>
      <c r="B1089" s="395" t="s">
        <v>349</v>
      </c>
      <c r="C1089" s="389" t="s">
        <v>224</v>
      </c>
      <c r="D1089" s="394" t="e">
        <f>VLOOKUP($F$41,таблица,36,0)-VLOOKUP($F$41,таблица,41,0)+D1084</f>
        <v>#N/A</v>
      </c>
      <c r="K1089" s="365" t="e">
        <f t="shared" si="167"/>
        <v>#N/A</v>
      </c>
    </row>
    <row r="1090" spans="1:11" hidden="1" x14ac:dyDescent="0.25">
      <c r="A1090" s="389" t="e">
        <f>IF(D1090=0,0,A1089+1)</f>
        <v>#N/A</v>
      </c>
      <c r="B1090" s="395" t="s">
        <v>227</v>
      </c>
      <c r="C1090" s="389" t="s">
        <v>224</v>
      </c>
      <c r="D1090" s="394" t="e">
        <f>VLOOKUP($F$41,таблица,61,0)</f>
        <v>#N/A</v>
      </c>
      <c r="K1090" s="365" t="e">
        <f t="shared" si="167"/>
        <v>#N/A</v>
      </c>
    </row>
    <row r="1091" spans="1:11" hidden="1" x14ac:dyDescent="0.25">
      <c r="A1091" s="389" t="e">
        <f>IF(D1091=0,0,A1090+1)</f>
        <v>#N/A</v>
      </c>
      <c r="B1091" s="395" t="s">
        <v>350</v>
      </c>
      <c r="C1091" s="389" t="s">
        <v>224</v>
      </c>
      <c r="D1091" s="397" t="e">
        <f>SUM(D1089:D1090)</f>
        <v>#N/A</v>
      </c>
      <c r="E1091" s="391" t="e">
        <f>VLOOKUP($F$41,таблица,72,0)</f>
        <v>#N/A</v>
      </c>
      <c r="K1091" s="365" t="e">
        <f t="shared" si="167"/>
        <v>#N/A</v>
      </c>
    </row>
    <row r="1092" spans="1:11" hidden="1" x14ac:dyDescent="0.25">
      <c r="A1092" s="389" t="e">
        <f>IF(D1092=0,0,A1091+1)</f>
        <v>#N/A</v>
      </c>
      <c r="B1092" s="395" t="s">
        <v>226</v>
      </c>
      <c r="C1092" s="389" t="s">
        <v>224</v>
      </c>
      <c r="D1092" s="397" t="e">
        <f>IF(OR(D1088=0,D1091=0),0,D1091+D1088)</f>
        <v>#N/A</v>
      </c>
      <c r="E1092" s="391" t="e">
        <f>VLOOKUP($F$41,таблица,62,0)</f>
        <v>#N/A</v>
      </c>
      <c r="K1092" s="365" t="e">
        <f t="shared" si="167"/>
        <v>#N/A</v>
      </c>
    </row>
    <row r="1093" spans="1:11" hidden="1" x14ac:dyDescent="0.25">
      <c r="A1093" s="400"/>
      <c r="B1093" s="400"/>
      <c r="C1093" s="400"/>
      <c r="D1093" s="401"/>
      <c r="K1093" s="365" t="str">
        <f>IF($F$41=0,"",1)</f>
        <v/>
      </c>
    </row>
    <row r="1094" spans="1:11" ht="47.25" hidden="1" customHeight="1" x14ac:dyDescent="0.25">
      <c r="A1094" s="465" t="str">
        <f>'Анализ стоимости'!$I$58</f>
        <v>Начальник финансового отдела</v>
      </c>
      <c r="B1094" s="466"/>
      <c r="C1094" s="402"/>
      <c r="D1094" s="403" t="str">
        <f>'Анализ стоимости'!$I$59</f>
        <v>А.Ю.Кашуба</v>
      </c>
      <c r="H1094" s="405" t="str">
        <f>A1094</f>
        <v>Начальник финансового отдела</v>
      </c>
      <c r="K1094" s="365" t="str">
        <f>IF($F$41=0,"",1)</f>
        <v/>
      </c>
    </row>
    <row r="1095" spans="1:11" hidden="1" x14ac:dyDescent="0.25">
      <c r="A1095" s="407"/>
      <c r="B1095" s="407"/>
      <c r="C1095" s="407"/>
      <c r="D1095" s="408"/>
      <c r="K1095" s="365" t="str">
        <f>IF($F$41=0,"",1)</f>
        <v/>
      </c>
    </row>
    <row r="1096" spans="1:11" hidden="1" x14ac:dyDescent="0.25">
      <c r="A1096" s="462">
        <f ca="1">TODAY()</f>
        <v>42101</v>
      </c>
      <c r="B1096" s="462"/>
      <c r="C1096" s="371"/>
      <c r="D1096" s="371"/>
      <c r="K1096" s="365" t="str">
        <f>IF($F$41=0,"",1)</f>
        <v/>
      </c>
    </row>
    <row r="1097" spans="1:11" hidden="1" x14ac:dyDescent="0.25">
      <c r="A1097" s="463" t="s">
        <v>310</v>
      </c>
      <c r="B1097" s="463"/>
      <c r="C1097" s="463"/>
      <c r="D1097" s="463"/>
      <c r="H1097" s="369"/>
      <c r="I1097" s="369"/>
      <c r="K1097" s="365" t="str">
        <f>IF($F$42=0,"",1)</f>
        <v/>
      </c>
    </row>
    <row r="1098" spans="1:11" ht="47.25" hidden="1" customHeight="1" x14ac:dyDescent="0.2">
      <c r="A1098" s="458" t="e">
        <f>CONCATENATE("Наименование объекта: ",VLOOKUP($F$42,таблица,9,0))</f>
        <v>#N/A</v>
      </c>
      <c r="B1098" s="458"/>
      <c r="C1098" s="458"/>
      <c r="D1098" s="458"/>
      <c r="J1098" s="414" t="e">
        <f>A1098</f>
        <v>#N/A</v>
      </c>
      <c r="K1098" s="365" t="str">
        <f t="shared" ref="K1098:K1114" si="168">IF($F$42=0,"",1)</f>
        <v/>
      </c>
    </row>
    <row r="1099" spans="1:11" hidden="1" x14ac:dyDescent="0.25">
      <c r="A1099" s="383"/>
      <c r="B1099" s="372"/>
      <c r="C1099" s="372"/>
      <c r="D1099" s="372"/>
      <c r="K1099" s="365" t="str">
        <f t="shared" si="168"/>
        <v/>
      </c>
    </row>
    <row r="1100" spans="1:11" hidden="1" x14ac:dyDescent="0.25">
      <c r="A1100" s="415" t="s">
        <v>218</v>
      </c>
      <c r="B1100" s="378"/>
      <c r="C1100" s="378"/>
      <c r="D1100" s="378"/>
      <c r="K1100" s="365" t="str">
        <f t="shared" si="168"/>
        <v/>
      </c>
    </row>
    <row r="1101" spans="1:11" hidden="1" x14ac:dyDescent="0.25">
      <c r="A1101" s="459" t="s">
        <v>219</v>
      </c>
      <c r="B1101" s="459"/>
      <c r="C1101" s="459"/>
      <c r="D1101" s="459"/>
      <c r="K1101" s="365" t="str">
        <f t="shared" si="168"/>
        <v/>
      </c>
    </row>
    <row r="1102" spans="1:11" ht="31.5" hidden="1" x14ac:dyDescent="0.25">
      <c r="A1102" s="385" t="s">
        <v>111</v>
      </c>
      <c r="B1102" s="385" t="s">
        <v>167</v>
      </c>
      <c r="C1102" s="460" t="e">
        <f>CONCATENATE("Стоимость  согласно сметной документации (руб.) в текущих ценах по состоянию на ",VLOOKUP($F$42,таблица,5,0)," г.")</f>
        <v>#N/A</v>
      </c>
      <c r="D1102" s="461"/>
      <c r="I1102" s="386" t="e">
        <f>C1102</f>
        <v>#N/A</v>
      </c>
      <c r="K1102" s="365" t="str">
        <f t="shared" si="168"/>
        <v/>
      </c>
    </row>
    <row r="1103" spans="1:11" hidden="1" x14ac:dyDescent="0.25">
      <c r="A1103" s="389">
        <v>1</v>
      </c>
      <c r="B1103" s="390" t="s">
        <v>68</v>
      </c>
      <c r="C1103" s="455" t="e">
        <f>VLOOKUP($F$42,таблица,10,0)</f>
        <v>#N/A</v>
      </c>
      <c r="D1103" s="456"/>
      <c r="K1103" s="365" t="str">
        <f t="shared" si="168"/>
        <v/>
      </c>
    </row>
    <row r="1104" spans="1:11" hidden="1" x14ac:dyDescent="0.25">
      <c r="A1104" s="389">
        <v>2</v>
      </c>
      <c r="B1104" s="390" t="s">
        <v>58</v>
      </c>
      <c r="C1104" s="455" t="e">
        <f>VLOOKUP($F$42,таблица,11,0)</f>
        <v>#N/A</v>
      </c>
      <c r="D1104" s="456"/>
      <c r="K1104" s="365" t="str">
        <f t="shared" si="168"/>
        <v/>
      </c>
    </row>
    <row r="1105" spans="1:11" ht="31.5" hidden="1" x14ac:dyDescent="0.25">
      <c r="A1105" s="389">
        <v>3</v>
      </c>
      <c r="B1105" s="390" t="s">
        <v>8</v>
      </c>
      <c r="C1105" s="455" t="e">
        <f>VLOOKUP($F$42,таблица,12,0)</f>
        <v>#N/A</v>
      </c>
      <c r="D1105" s="456"/>
      <c r="K1105" s="365" t="str">
        <f t="shared" si="168"/>
        <v/>
      </c>
    </row>
    <row r="1106" spans="1:11" hidden="1" x14ac:dyDescent="0.25">
      <c r="A1106" s="389">
        <v>4</v>
      </c>
      <c r="B1106" s="390" t="s">
        <v>59</v>
      </c>
      <c r="C1106" s="455" t="e">
        <f>VLOOKUP($F$42,таблица,13,0)</f>
        <v>#N/A</v>
      </c>
      <c r="D1106" s="456"/>
      <c r="K1106" s="365" t="str">
        <f t="shared" si="168"/>
        <v/>
      </c>
    </row>
    <row r="1107" spans="1:11" hidden="1" x14ac:dyDescent="0.25">
      <c r="A1107" s="389">
        <v>5</v>
      </c>
      <c r="B1107" s="390" t="s">
        <v>14</v>
      </c>
      <c r="C1107" s="455" t="e">
        <f>VLOOKUP($F$42,таблица,14,0)</f>
        <v>#N/A</v>
      </c>
      <c r="D1107" s="456"/>
      <c r="K1107" s="365" t="str">
        <f t="shared" si="168"/>
        <v/>
      </c>
    </row>
    <row r="1108" spans="1:11" hidden="1" x14ac:dyDescent="0.25">
      <c r="A1108" s="389">
        <v>6</v>
      </c>
      <c r="B1108" s="390" t="s">
        <v>23</v>
      </c>
      <c r="C1108" s="455" t="e">
        <f>VLOOKUP($F$42,таблица,18,0)</f>
        <v>#N/A</v>
      </c>
      <c r="D1108" s="456"/>
      <c r="K1108" s="365" t="str">
        <f t="shared" si="168"/>
        <v/>
      </c>
    </row>
    <row r="1109" spans="1:11" hidden="1" x14ac:dyDescent="0.25">
      <c r="A1109" s="389">
        <v>7</v>
      </c>
      <c r="B1109" s="390" t="s">
        <v>156</v>
      </c>
      <c r="C1109" s="455" t="e">
        <f>VLOOKUP($F$42,таблица,19,0)+VLOOKUP($F$42,таблица,21,0)+VLOOKUP($F$42,таблица,22,0)+VLOOKUP($F$42,таблица,23,0)+VLOOKUP($F$42,таблица,24,0)+VLOOKUP($F$42,таблица,25,0)+VLOOKUP($F$42,таблица,26,0)</f>
        <v>#N/A</v>
      </c>
      <c r="D1109" s="456"/>
      <c r="K1109" s="365" t="str">
        <f t="shared" si="168"/>
        <v/>
      </c>
    </row>
    <row r="1110" spans="1:11" hidden="1" x14ac:dyDescent="0.25">
      <c r="A1110" s="389">
        <v>8</v>
      </c>
      <c r="B1110" s="390" t="s">
        <v>101</v>
      </c>
      <c r="C1110" s="455" t="e">
        <f>VLOOKUP($F$42,таблица,31,0)</f>
        <v>#N/A</v>
      </c>
      <c r="D1110" s="456"/>
      <c r="K1110" s="365" t="str">
        <f t="shared" si="168"/>
        <v/>
      </c>
    </row>
    <row r="1111" spans="1:11" hidden="1" x14ac:dyDescent="0.25">
      <c r="A1111" s="389">
        <v>9</v>
      </c>
      <c r="B1111" s="390" t="s">
        <v>241</v>
      </c>
      <c r="C1111" s="455" t="e">
        <f>SUM(C1103:D1110)</f>
        <v>#N/A</v>
      </c>
      <c r="D1111" s="456"/>
      <c r="K1111" s="365" t="str">
        <f t="shared" si="168"/>
        <v/>
      </c>
    </row>
    <row r="1112" spans="1:11" hidden="1" x14ac:dyDescent="0.25">
      <c r="A1112" s="464" t="s">
        <v>231</v>
      </c>
      <c r="B1112" s="464"/>
      <c r="C1112" s="464"/>
      <c r="D1112" s="464"/>
      <c r="K1112" s="365" t="str">
        <f t="shared" si="168"/>
        <v/>
      </c>
    </row>
    <row r="1113" spans="1:11" ht="31.5" hidden="1" x14ac:dyDescent="0.25">
      <c r="A1113" s="392" t="s">
        <v>111</v>
      </c>
      <c r="B1113" s="385" t="s">
        <v>36</v>
      </c>
      <c r="C1113" s="385" t="s">
        <v>221</v>
      </c>
      <c r="D1113" s="385" t="s">
        <v>168</v>
      </c>
      <c r="K1113" s="365" t="str">
        <f t="shared" si="168"/>
        <v/>
      </c>
    </row>
    <row r="1114" spans="1:11" hidden="1" x14ac:dyDescent="0.25">
      <c r="A1114" s="389">
        <v>10</v>
      </c>
      <c r="B1114" s="389" t="e">
        <f>VLOOKUP((VLOOKUP($F$42,таблица,8,0)),рем_содер,2,0)</f>
        <v>#N/A</v>
      </c>
      <c r="C1114" s="389"/>
      <c r="D1114" s="390"/>
      <c r="K1114" s="365" t="str">
        <f t="shared" si="168"/>
        <v/>
      </c>
    </row>
    <row r="1115" spans="1:11" hidden="1" x14ac:dyDescent="0.25">
      <c r="A1115" s="389" t="e">
        <f>IF(D1115=0,0,A1114+1)</f>
        <v>#N/A</v>
      </c>
      <c r="B1115" s="390" t="e">
        <f>CONCATENATE("2015 г. (",CHOOSE(VLOOKUP(F$42,таблица,63,0),"Январь","Февраль","Март","Апрель","Май","Июнь","Июль","Август","Сентябрь","Октябрь","Ноябрь","Декабрь")," - ",CHOOSE(VLOOKUP(F$42,таблица,64,0),"Январь","Февраль","Март","Апрель","Май","Июнь","Июль","Август","Сентябрь","Октябрь","Ноябрь","Декабрь"),")")</f>
        <v>#N/A</v>
      </c>
      <c r="C1115" s="389" t="s">
        <v>222</v>
      </c>
      <c r="D1115" s="417" t="e">
        <f>IF(D1117=0,0,VLOOKUP($F$42,таблица,69,0)*100+100)</f>
        <v>#N/A</v>
      </c>
      <c r="K1115" s="365" t="e">
        <f>IF(D1115=0,"",1)</f>
        <v>#N/A</v>
      </c>
    </row>
    <row r="1116" spans="1:11" hidden="1" x14ac:dyDescent="0.25">
      <c r="A1116" s="389" t="e">
        <f>IF(D1116=0,0,IF(D1115=0,A1114+1,A1115+1))</f>
        <v>#N/A</v>
      </c>
      <c r="B1116" s="390" t="e">
        <f>CONCATENATE("2016 г. (",CHOOSE(VLOOKUP(F$42,таблица,65,0),"Январь","Февраль","Март","Апрель","Май","Июнь","Июль","Август","Сентябрь","Октябрь","Ноябрь","Декабрь")," - ",CHOOSE(VLOOKUP(F$42,таблица,66,0),"Январь","Февраль","Март","Апрель","Май","Июнь","Июль","Август","Сентябрь","Октябрь","Ноябрь","Декабрь"),")")</f>
        <v>#N/A</v>
      </c>
      <c r="C1116" s="389" t="s">
        <v>222</v>
      </c>
      <c r="D1116" s="417" t="e">
        <f>IF(D1118=0,0,VLOOKUP($F$42,таблица,70,0)*100+100)</f>
        <v>#N/A</v>
      </c>
      <c r="K1116" s="365" t="e">
        <f t="shared" ref="K1116:K1118" si="169">IF(D1116=0,"",1)</f>
        <v>#N/A</v>
      </c>
    </row>
    <row r="1117" spans="1:11" hidden="1" x14ac:dyDescent="0.25">
      <c r="A1117" s="389" t="e">
        <f>IF(D1117=0,0,IF(D1116=0,A1115+1,A1116+1))</f>
        <v>#N/A</v>
      </c>
      <c r="B1117" s="390" t="s">
        <v>223</v>
      </c>
      <c r="C1117" s="389" t="s">
        <v>224</v>
      </c>
      <c r="D1117" s="394" t="e">
        <f>VLOOKUP($F$42,таблица,46,0)</f>
        <v>#N/A</v>
      </c>
      <c r="K1117" s="365" t="e">
        <f t="shared" si="169"/>
        <v>#N/A</v>
      </c>
    </row>
    <row r="1118" spans="1:11" hidden="1" x14ac:dyDescent="0.25">
      <c r="A1118" s="389" t="e">
        <f>IF(D1118=0,0,IF(D1117=0,A1116+1,A1117+1))</f>
        <v>#N/A</v>
      </c>
      <c r="B1118" s="390" t="s">
        <v>351</v>
      </c>
      <c r="C1118" s="389" t="s">
        <v>224</v>
      </c>
      <c r="D1118" s="394" t="e">
        <f>VLOOKUP($F$42,таблица,56,0)</f>
        <v>#N/A</v>
      </c>
      <c r="K1118" s="365" t="e">
        <f t="shared" si="169"/>
        <v>#N/A</v>
      </c>
    </row>
    <row r="1119" spans="1:11" hidden="1" x14ac:dyDescent="0.25">
      <c r="A1119" s="464" t="s">
        <v>225</v>
      </c>
      <c r="B1119" s="464"/>
      <c r="C1119" s="464"/>
      <c r="D1119" s="464"/>
      <c r="K1119" s="365" t="str">
        <f>IF($F$42=0,"",1)</f>
        <v/>
      </c>
    </row>
    <row r="1120" spans="1:11" ht="31.5" hidden="1" x14ac:dyDescent="0.25">
      <c r="A1120" s="389" t="e">
        <f>IF(D1120=0,0,IF(D1118=0,IF(D1117=0,A1114+1,A1117+1),A1118+1))</f>
        <v>#N/A</v>
      </c>
      <c r="B1120" s="395" t="s">
        <v>275</v>
      </c>
      <c r="C1120" s="389" t="s">
        <v>224</v>
      </c>
      <c r="D1120" s="394" t="e">
        <f>SUM(VLOOKUP($F$42,таблица,41,0),D1117)</f>
        <v>#N/A</v>
      </c>
      <c r="E1120" s="365"/>
      <c r="K1120" s="365" t="e">
        <f t="shared" ref="K1120:K1126" si="170">IF(D1120=0,"",1)</f>
        <v>#N/A</v>
      </c>
    </row>
    <row r="1121" spans="1:11" hidden="1" x14ac:dyDescent="0.25">
      <c r="A1121" s="389" t="e">
        <f>IF(D1121=0,0,A1120+1)</f>
        <v>#N/A</v>
      </c>
      <c r="B1121" s="395" t="s">
        <v>227</v>
      </c>
      <c r="C1121" s="389" t="s">
        <v>224</v>
      </c>
      <c r="D1121" s="394" t="e">
        <f>VLOOKUP($F$42,таблица,51,0)</f>
        <v>#N/A</v>
      </c>
      <c r="E1121" s="365"/>
      <c r="K1121" s="365" t="e">
        <f t="shared" si="170"/>
        <v>#N/A</v>
      </c>
    </row>
    <row r="1122" spans="1:11" hidden="1" x14ac:dyDescent="0.25">
      <c r="A1122" s="389" t="e">
        <f>IF(D1122=0,0,A1121+1)</f>
        <v>#N/A</v>
      </c>
      <c r="B1122" s="395" t="s">
        <v>274</v>
      </c>
      <c r="C1122" s="389" t="s">
        <v>224</v>
      </c>
      <c r="D1122" s="397" t="e">
        <f>SUM(D1120:D1121)</f>
        <v>#N/A</v>
      </c>
      <c r="E1122" s="391" t="e">
        <f>VLOOKUP($F$42,таблица,71,0)</f>
        <v>#N/A</v>
      </c>
      <c r="K1122" s="365" t="e">
        <f t="shared" si="170"/>
        <v>#N/A</v>
      </c>
    </row>
    <row r="1123" spans="1:11" ht="31.5" hidden="1" x14ac:dyDescent="0.25">
      <c r="A1123" s="389" t="e">
        <f>IF(D1123=0,0,IF(D1122=0,IF(D1118=0,A1114+1,A1118+1),A1122+1))</f>
        <v>#N/A</v>
      </c>
      <c r="B1123" s="395" t="s">
        <v>349</v>
      </c>
      <c r="C1123" s="389" t="s">
        <v>224</v>
      </c>
      <c r="D1123" s="394" t="e">
        <f>VLOOKUP($F$42,таблица,36,0)-VLOOKUP($F$42,таблица,41,0)+D1118</f>
        <v>#N/A</v>
      </c>
      <c r="K1123" s="365" t="e">
        <f t="shared" si="170"/>
        <v>#N/A</v>
      </c>
    </row>
    <row r="1124" spans="1:11" hidden="1" x14ac:dyDescent="0.25">
      <c r="A1124" s="389" t="e">
        <f>IF(D1124=0,0,A1123+1)</f>
        <v>#N/A</v>
      </c>
      <c r="B1124" s="395" t="s">
        <v>227</v>
      </c>
      <c r="C1124" s="389" t="s">
        <v>224</v>
      </c>
      <c r="D1124" s="394" t="e">
        <f>VLOOKUP($F$42,таблица,61,0)</f>
        <v>#N/A</v>
      </c>
      <c r="K1124" s="365" t="e">
        <f t="shared" si="170"/>
        <v>#N/A</v>
      </c>
    </row>
    <row r="1125" spans="1:11" hidden="1" x14ac:dyDescent="0.25">
      <c r="A1125" s="389" t="e">
        <f>IF(D1125=0,0,A1124+1)</f>
        <v>#N/A</v>
      </c>
      <c r="B1125" s="395" t="s">
        <v>350</v>
      </c>
      <c r="C1125" s="389" t="s">
        <v>224</v>
      </c>
      <c r="D1125" s="397" t="e">
        <f>SUM(D1123:D1124)</f>
        <v>#N/A</v>
      </c>
      <c r="E1125" s="391" t="e">
        <f>VLOOKUP($F$42,таблица,72,0)</f>
        <v>#N/A</v>
      </c>
      <c r="K1125" s="365" t="e">
        <f t="shared" si="170"/>
        <v>#N/A</v>
      </c>
    </row>
    <row r="1126" spans="1:11" hidden="1" x14ac:dyDescent="0.25">
      <c r="A1126" s="389" t="e">
        <f>IF(D1126=0,0,A1125+1)</f>
        <v>#N/A</v>
      </c>
      <c r="B1126" s="395" t="s">
        <v>226</v>
      </c>
      <c r="C1126" s="389" t="s">
        <v>224</v>
      </c>
      <c r="D1126" s="397" t="e">
        <f>IF(OR(D1122=0,D1125=0),0,D1125+D1122)</f>
        <v>#N/A</v>
      </c>
      <c r="E1126" s="391" t="e">
        <f>VLOOKUP($F$42,таблица,62,0)</f>
        <v>#N/A</v>
      </c>
      <c r="K1126" s="365" t="e">
        <f t="shared" si="170"/>
        <v>#N/A</v>
      </c>
    </row>
    <row r="1127" spans="1:11" hidden="1" x14ac:dyDescent="0.25">
      <c r="A1127" s="400"/>
      <c r="B1127" s="400"/>
      <c r="C1127" s="400"/>
      <c r="D1127" s="401"/>
      <c r="K1127" s="365" t="str">
        <f>IF($F$42=0,"",1)</f>
        <v/>
      </c>
    </row>
    <row r="1128" spans="1:11" ht="47.25" hidden="1" customHeight="1" x14ac:dyDescent="0.25">
      <c r="A1128" s="465" t="str">
        <f>'Анализ стоимости'!$I$58</f>
        <v>Начальник финансового отдела</v>
      </c>
      <c r="B1128" s="466"/>
      <c r="C1128" s="402"/>
      <c r="D1128" s="403" t="str">
        <f>'Анализ стоимости'!$I$59</f>
        <v>А.Ю.Кашуба</v>
      </c>
      <c r="H1128" s="405" t="str">
        <f>A1128</f>
        <v>Начальник финансового отдела</v>
      </c>
      <c r="K1128" s="365" t="str">
        <f>IF($F$42=0,"",1)</f>
        <v/>
      </c>
    </row>
    <row r="1129" spans="1:11" hidden="1" x14ac:dyDescent="0.25">
      <c r="A1129" s="407"/>
      <c r="B1129" s="407"/>
      <c r="C1129" s="407"/>
      <c r="D1129" s="408"/>
      <c r="K1129" s="365" t="str">
        <f>IF($F$42=0,"",1)</f>
        <v/>
      </c>
    </row>
    <row r="1130" spans="1:11" hidden="1" x14ac:dyDescent="0.25">
      <c r="A1130" s="462">
        <f ca="1">TODAY()</f>
        <v>42101</v>
      </c>
      <c r="B1130" s="462"/>
      <c r="C1130" s="371"/>
      <c r="D1130" s="371"/>
      <c r="K1130" s="365" t="str">
        <f>IF($F$42=0,"",1)</f>
        <v/>
      </c>
    </row>
    <row r="1131" spans="1:11" hidden="1" x14ac:dyDescent="0.25">
      <c r="A1131" s="463" t="s">
        <v>311</v>
      </c>
      <c r="B1131" s="463"/>
      <c r="C1131" s="463"/>
      <c r="D1131" s="463"/>
      <c r="H1131" s="369"/>
      <c r="I1131" s="369"/>
      <c r="K1131" s="365" t="str">
        <f t="shared" ref="K1131:K1148" si="171">IF($F$43=0,"",1)</f>
        <v/>
      </c>
    </row>
    <row r="1132" spans="1:11" ht="47.25" hidden="1" customHeight="1" x14ac:dyDescent="0.2">
      <c r="A1132" s="458" t="e">
        <f>CONCATENATE("Наименование объекта: ",VLOOKUP($F$43,таблица,9,0))</f>
        <v>#N/A</v>
      </c>
      <c r="B1132" s="458"/>
      <c r="C1132" s="458"/>
      <c r="D1132" s="458"/>
      <c r="J1132" s="414" t="e">
        <f>A1132</f>
        <v>#N/A</v>
      </c>
      <c r="K1132" s="365" t="str">
        <f t="shared" si="171"/>
        <v/>
      </c>
    </row>
    <row r="1133" spans="1:11" hidden="1" x14ac:dyDescent="0.25">
      <c r="A1133" s="383"/>
      <c r="B1133" s="372"/>
      <c r="C1133" s="372"/>
      <c r="D1133" s="372"/>
      <c r="K1133" s="365" t="str">
        <f t="shared" si="171"/>
        <v/>
      </c>
    </row>
    <row r="1134" spans="1:11" hidden="1" x14ac:dyDescent="0.25">
      <c r="A1134" s="415" t="s">
        <v>218</v>
      </c>
      <c r="B1134" s="378"/>
      <c r="C1134" s="378"/>
      <c r="D1134" s="378"/>
      <c r="K1134" s="365" t="str">
        <f t="shared" si="171"/>
        <v/>
      </c>
    </row>
    <row r="1135" spans="1:11" hidden="1" x14ac:dyDescent="0.25">
      <c r="A1135" s="459" t="s">
        <v>219</v>
      </c>
      <c r="B1135" s="459"/>
      <c r="C1135" s="459"/>
      <c r="D1135" s="459"/>
      <c r="K1135" s="365" t="str">
        <f t="shared" si="171"/>
        <v/>
      </c>
    </row>
    <row r="1136" spans="1:11" ht="31.5" hidden="1" x14ac:dyDescent="0.25">
      <c r="A1136" s="385" t="s">
        <v>111</v>
      </c>
      <c r="B1136" s="385" t="s">
        <v>167</v>
      </c>
      <c r="C1136" s="460" t="e">
        <f>CONCATENATE("Стоимость  согласно сметной документации (руб.) в текущих ценах по состоянию на ",VLOOKUP($F$43,таблица,5,0)," г.")</f>
        <v>#N/A</v>
      </c>
      <c r="D1136" s="461"/>
      <c r="I1136" s="386" t="e">
        <f>C1136</f>
        <v>#N/A</v>
      </c>
      <c r="K1136" s="365" t="str">
        <f t="shared" si="171"/>
        <v/>
      </c>
    </row>
    <row r="1137" spans="1:11" hidden="1" x14ac:dyDescent="0.25">
      <c r="A1137" s="389">
        <v>1</v>
      </c>
      <c r="B1137" s="390" t="s">
        <v>68</v>
      </c>
      <c r="C1137" s="455" t="e">
        <f>VLOOKUP($F$43,таблица,10,0)</f>
        <v>#N/A</v>
      </c>
      <c r="D1137" s="456"/>
      <c r="K1137" s="365" t="str">
        <f t="shared" si="171"/>
        <v/>
      </c>
    </row>
    <row r="1138" spans="1:11" hidden="1" x14ac:dyDescent="0.25">
      <c r="A1138" s="389">
        <v>2</v>
      </c>
      <c r="B1138" s="390" t="s">
        <v>58</v>
      </c>
      <c r="C1138" s="455" t="e">
        <f>VLOOKUP($F$43,таблица,11,0)</f>
        <v>#N/A</v>
      </c>
      <c r="D1138" s="456"/>
      <c r="K1138" s="365" t="str">
        <f t="shared" si="171"/>
        <v/>
      </c>
    </row>
    <row r="1139" spans="1:11" ht="31.5" hidden="1" x14ac:dyDescent="0.25">
      <c r="A1139" s="389">
        <v>3</v>
      </c>
      <c r="B1139" s="390" t="s">
        <v>8</v>
      </c>
      <c r="C1139" s="455" t="e">
        <f>VLOOKUP($F$43,таблица,12,0)</f>
        <v>#N/A</v>
      </c>
      <c r="D1139" s="456"/>
      <c r="K1139" s="365" t="str">
        <f t="shared" si="171"/>
        <v/>
      </c>
    </row>
    <row r="1140" spans="1:11" hidden="1" x14ac:dyDescent="0.25">
      <c r="A1140" s="389">
        <v>4</v>
      </c>
      <c r="B1140" s="390" t="s">
        <v>59</v>
      </c>
      <c r="C1140" s="455" t="e">
        <f>VLOOKUP($F$43,таблица,13,0)</f>
        <v>#N/A</v>
      </c>
      <c r="D1140" s="456"/>
      <c r="K1140" s="365" t="str">
        <f t="shared" si="171"/>
        <v/>
      </c>
    </row>
    <row r="1141" spans="1:11" hidden="1" x14ac:dyDescent="0.25">
      <c r="A1141" s="389">
        <v>5</v>
      </c>
      <c r="B1141" s="390" t="s">
        <v>14</v>
      </c>
      <c r="C1141" s="455" t="e">
        <f>VLOOKUP($F$43,таблица,14,0)</f>
        <v>#N/A</v>
      </c>
      <c r="D1141" s="456"/>
      <c r="K1141" s="365" t="str">
        <f t="shared" si="171"/>
        <v/>
      </c>
    </row>
    <row r="1142" spans="1:11" hidden="1" x14ac:dyDescent="0.25">
      <c r="A1142" s="389">
        <v>6</v>
      </c>
      <c r="B1142" s="390" t="s">
        <v>23</v>
      </c>
      <c r="C1142" s="455" t="e">
        <f>VLOOKUP($F$43,таблица,18,0)</f>
        <v>#N/A</v>
      </c>
      <c r="D1142" s="456"/>
      <c r="K1142" s="365" t="str">
        <f t="shared" si="171"/>
        <v/>
      </c>
    </row>
    <row r="1143" spans="1:11" hidden="1" x14ac:dyDescent="0.25">
      <c r="A1143" s="389">
        <v>7</v>
      </c>
      <c r="B1143" s="390" t="s">
        <v>156</v>
      </c>
      <c r="C1143" s="455" t="e">
        <f>VLOOKUP($F$43,таблица,19,0)+VLOOKUP($F$43,таблица,21,0)+VLOOKUP($F$43,таблица,22,0)+VLOOKUP($F$43,таблица,23,0)+VLOOKUP($F$43,таблица,24,0)+VLOOKUP($F$43,таблица,25,0)+VLOOKUP($F$43,таблица,26,0)</f>
        <v>#N/A</v>
      </c>
      <c r="D1143" s="456"/>
      <c r="K1143" s="365" t="str">
        <f t="shared" si="171"/>
        <v/>
      </c>
    </row>
    <row r="1144" spans="1:11" hidden="1" x14ac:dyDescent="0.25">
      <c r="A1144" s="389">
        <v>8</v>
      </c>
      <c r="B1144" s="390" t="s">
        <v>101</v>
      </c>
      <c r="C1144" s="455" t="e">
        <f>VLOOKUP($F$43,таблица,31,0)</f>
        <v>#N/A</v>
      </c>
      <c r="D1144" s="456"/>
      <c r="K1144" s="365" t="str">
        <f t="shared" si="171"/>
        <v/>
      </c>
    </row>
    <row r="1145" spans="1:11" hidden="1" x14ac:dyDescent="0.25">
      <c r="A1145" s="389">
        <v>9</v>
      </c>
      <c r="B1145" s="390" t="s">
        <v>241</v>
      </c>
      <c r="C1145" s="455" t="e">
        <f>SUM(C1137:D1144)</f>
        <v>#N/A</v>
      </c>
      <c r="D1145" s="456"/>
      <c r="K1145" s="365" t="str">
        <f t="shared" si="171"/>
        <v/>
      </c>
    </row>
    <row r="1146" spans="1:11" hidden="1" x14ac:dyDescent="0.25">
      <c r="A1146" s="464" t="s">
        <v>231</v>
      </c>
      <c r="B1146" s="464"/>
      <c r="C1146" s="464"/>
      <c r="D1146" s="464"/>
      <c r="K1146" s="365" t="str">
        <f t="shared" si="171"/>
        <v/>
      </c>
    </row>
    <row r="1147" spans="1:11" ht="31.5" hidden="1" x14ac:dyDescent="0.25">
      <c r="A1147" s="392" t="s">
        <v>111</v>
      </c>
      <c r="B1147" s="385" t="s">
        <v>36</v>
      </c>
      <c r="C1147" s="385" t="s">
        <v>221</v>
      </c>
      <c r="D1147" s="385" t="s">
        <v>168</v>
      </c>
      <c r="K1147" s="365" t="str">
        <f t="shared" si="171"/>
        <v/>
      </c>
    </row>
    <row r="1148" spans="1:11" hidden="1" x14ac:dyDescent="0.25">
      <c r="A1148" s="389">
        <v>10</v>
      </c>
      <c r="B1148" s="389" t="e">
        <f>VLOOKUP((VLOOKUP($F$43,таблица,8,0)),рем_содер,2,0)</f>
        <v>#N/A</v>
      </c>
      <c r="C1148" s="389"/>
      <c r="D1148" s="390"/>
      <c r="K1148" s="365" t="str">
        <f t="shared" si="171"/>
        <v/>
      </c>
    </row>
    <row r="1149" spans="1:11" hidden="1" x14ac:dyDescent="0.25">
      <c r="A1149" s="389" t="e">
        <f>IF(D1149=0,0,A1148+1)</f>
        <v>#N/A</v>
      </c>
      <c r="B1149" s="390" t="e">
        <f>CONCATENATE("2015 г. (",CHOOSE(VLOOKUP(F$43,таблица,63,0),"Январь","Февраль","Март","Апрель","Май","Июнь","Июль","Август","Сентябрь","Октябрь","Ноябрь","Декабрь")," - ",CHOOSE(VLOOKUP(F$43,таблица,64,0),"Январь","Февраль","Март","Апрель","Май","Июнь","Июль","Август","Сентябрь","Октябрь","Ноябрь","Декабрь"),")")</f>
        <v>#N/A</v>
      </c>
      <c r="C1149" s="389" t="s">
        <v>222</v>
      </c>
      <c r="D1149" s="417" t="e">
        <f>IF(D1151=0,0,VLOOKUP($F$43,таблица,69,0)*100+100)</f>
        <v>#N/A</v>
      </c>
      <c r="K1149" s="365" t="e">
        <f>IF(D1149=0,"",1)</f>
        <v>#N/A</v>
      </c>
    </row>
    <row r="1150" spans="1:11" hidden="1" x14ac:dyDescent="0.25">
      <c r="A1150" s="389" t="e">
        <f>IF(D1150=0,0,IF(D1149=0,A1148+1,A1149+1))</f>
        <v>#N/A</v>
      </c>
      <c r="B1150" s="390" t="e">
        <f>CONCATENATE("2016 г. (",CHOOSE(VLOOKUP(F$43,таблица,65,0),"Январь","Февраль","Март","Апрель","Май","Июнь","Июль","Август","Сентябрь","Октябрь","Ноябрь","Декабрь")," - ",CHOOSE(VLOOKUP(F$43,таблица,66,0),"Январь","Февраль","Март","Апрель","Май","Июнь","Июль","Август","Сентябрь","Октябрь","Ноябрь","Декабрь"),")")</f>
        <v>#N/A</v>
      </c>
      <c r="C1150" s="389" t="s">
        <v>222</v>
      </c>
      <c r="D1150" s="417" t="e">
        <f>IF(D1152=0,0,VLOOKUP($F$43,таблица,70,0)*100+100)</f>
        <v>#N/A</v>
      </c>
      <c r="K1150" s="365" t="e">
        <f t="shared" ref="K1150:K1152" si="172">IF(D1150=0,"",1)</f>
        <v>#N/A</v>
      </c>
    </row>
    <row r="1151" spans="1:11" hidden="1" x14ac:dyDescent="0.25">
      <c r="A1151" s="389" t="e">
        <f>IF(D1151=0,0,IF(D1150=0,A1149+1,A1150+1))</f>
        <v>#N/A</v>
      </c>
      <c r="B1151" s="390" t="s">
        <v>223</v>
      </c>
      <c r="C1151" s="389" t="s">
        <v>224</v>
      </c>
      <c r="D1151" s="394" t="e">
        <f>VLOOKUP($F$43,таблица,46,0)</f>
        <v>#N/A</v>
      </c>
      <c r="K1151" s="365" t="e">
        <f t="shared" si="172"/>
        <v>#N/A</v>
      </c>
    </row>
    <row r="1152" spans="1:11" hidden="1" x14ac:dyDescent="0.25">
      <c r="A1152" s="389" t="e">
        <f>IF(D1152=0,0,IF(D1151=0,A1150+1,A1151+1))</f>
        <v>#N/A</v>
      </c>
      <c r="B1152" s="390" t="s">
        <v>351</v>
      </c>
      <c r="C1152" s="389" t="s">
        <v>224</v>
      </c>
      <c r="D1152" s="394" t="e">
        <f>VLOOKUP($F$43,таблица,56,0)</f>
        <v>#N/A</v>
      </c>
      <c r="K1152" s="365" t="e">
        <f t="shared" si="172"/>
        <v>#N/A</v>
      </c>
    </row>
    <row r="1153" spans="1:11" hidden="1" x14ac:dyDescent="0.25">
      <c r="A1153" s="464" t="s">
        <v>225</v>
      </c>
      <c r="B1153" s="464"/>
      <c r="C1153" s="464"/>
      <c r="D1153" s="464"/>
      <c r="K1153" s="365" t="str">
        <f>IF($F$43=0,"",1)</f>
        <v/>
      </c>
    </row>
    <row r="1154" spans="1:11" ht="31.5" hidden="1" x14ac:dyDescent="0.25">
      <c r="A1154" s="389" t="e">
        <f>IF(D1154=0,0,IF(D1152=0,IF(D1151=0,A1148+1,A1151+1),A1152+1))</f>
        <v>#N/A</v>
      </c>
      <c r="B1154" s="395" t="s">
        <v>275</v>
      </c>
      <c r="C1154" s="389" t="s">
        <v>224</v>
      </c>
      <c r="D1154" s="394" t="e">
        <f>SUM(VLOOKUP($F$43,таблица,41,0),D1151)</f>
        <v>#N/A</v>
      </c>
      <c r="E1154" s="365"/>
      <c r="K1154" s="365" t="e">
        <f t="shared" ref="K1154:K1160" si="173">IF(D1154=0,"",1)</f>
        <v>#N/A</v>
      </c>
    </row>
    <row r="1155" spans="1:11" hidden="1" x14ac:dyDescent="0.25">
      <c r="A1155" s="389" t="e">
        <f>IF(D1155=0,0,A1154+1)</f>
        <v>#N/A</v>
      </c>
      <c r="B1155" s="395" t="s">
        <v>227</v>
      </c>
      <c r="C1155" s="389" t="s">
        <v>224</v>
      </c>
      <c r="D1155" s="394" t="e">
        <f>VLOOKUP($F$43,таблица,51,0)</f>
        <v>#N/A</v>
      </c>
      <c r="E1155" s="365"/>
      <c r="K1155" s="365" t="e">
        <f t="shared" si="173"/>
        <v>#N/A</v>
      </c>
    </row>
    <row r="1156" spans="1:11" hidden="1" x14ac:dyDescent="0.25">
      <c r="A1156" s="389" t="e">
        <f>IF(D1156=0,0,A1155+1)</f>
        <v>#N/A</v>
      </c>
      <c r="B1156" s="395" t="s">
        <v>274</v>
      </c>
      <c r="C1156" s="389" t="s">
        <v>224</v>
      </c>
      <c r="D1156" s="397" t="e">
        <f>SUM(D1154:D1155)</f>
        <v>#N/A</v>
      </c>
      <c r="E1156" s="391" t="e">
        <f>VLOOKUP($F$43,таблица,71,0)</f>
        <v>#N/A</v>
      </c>
      <c r="K1156" s="365" t="e">
        <f t="shared" si="173"/>
        <v>#N/A</v>
      </c>
    </row>
    <row r="1157" spans="1:11" ht="31.5" hidden="1" x14ac:dyDescent="0.25">
      <c r="A1157" s="389" t="e">
        <f>IF(D1157=0,0,IF(D1156=0,IF(D1152=0,A1148+1,A1152+1),A1156+1))</f>
        <v>#N/A</v>
      </c>
      <c r="B1157" s="395" t="s">
        <v>349</v>
      </c>
      <c r="C1157" s="389" t="s">
        <v>224</v>
      </c>
      <c r="D1157" s="394" t="e">
        <f>VLOOKUP($F$43,таблица,36,0)-VLOOKUP($F$43,таблица,41,0)+D1152</f>
        <v>#N/A</v>
      </c>
      <c r="K1157" s="365" t="e">
        <f t="shared" si="173"/>
        <v>#N/A</v>
      </c>
    </row>
    <row r="1158" spans="1:11" hidden="1" x14ac:dyDescent="0.25">
      <c r="A1158" s="389" t="e">
        <f>IF(D1158=0,0,A1157+1)</f>
        <v>#N/A</v>
      </c>
      <c r="B1158" s="395" t="s">
        <v>227</v>
      </c>
      <c r="C1158" s="389" t="s">
        <v>224</v>
      </c>
      <c r="D1158" s="394" t="e">
        <f>VLOOKUP($F$43,таблица,61,0)</f>
        <v>#N/A</v>
      </c>
      <c r="K1158" s="365" t="e">
        <f t="shared" si="173"/>
        <v>#N/A</v>
      </c>
    </row>
    <row r="1159" spans="1:11" hidden="1" x14ac:dyDescent="0.25">
      <c r="A1159" s="389" t="e">
        <f>IF(D1159=0,0,A1158+1)</f>
        <v>#N/A</v>
      </c>
      <c r="B1159" s="395" t="s">
        <v>350</v>
      </c>
      <c r="C1159" s="389" t="s">
        <v>224</v>
      </c>
      <c r="D1159" s="397" t="e">
        <f>SUM(D1157:D1158)</f>
        <v>#N/A</v>
      </c>
      <c r="E1159" s="391" t="e">
        <f>VLOOKUP($F$43,таблица,72,0)</f>
        <v>#N/A</v>
      </c>
      <c r="K1159" s="365" t="e">
        <f t="shared" si="173"/>
        <v>#N/A</v>
      </c>
    </row>
    <row r="1160" spans="1:11" hidden="1" x14ac:dyDescent="0.25">
      <c r="A1160" s="389" t="e">
        <f>IF(D1160=0,0,A1159+1)</f>
        <v>#N/A</v>
      </c>
      <c r="B1160" s="395" t="s">
        <v>226</v>
      </c>
      <c r="C1160" s="389" t="s">
        <v>224</v>
      </c>
      <c r="D1160" s="397" t="e">
        <f>IF(OR(D1156=0,D1159=0),0,D1159+D1156)</f>
        <v>#N/A</v>
      </c>
      <c r="E1160" s="391" t="e">
        <f>VLOOKUP($F$43,таблица,62,0)</f>
        <v>#N/A</v>
      </c>
      <c r="K1160" s="365" t="e">
        <f t="shared" si="173"/>
        <v>#N/A</v>
      </c>
    </row>
    <row r="1161" spans="1:11" hidden="1" x14ac:dyDescent="0.25">
      <c r="A1161" s="400"/>
      <c r="B1161" s="400"/>
      <c r="C1161" s="400"/>
      <c r="D1161" s="401"/>
      <c r="K1161" s="365" t="str">
        <f>IF($F$43=0,"",1)</f>
        <v/>
      </c>
    </row>
    <row r="1162" spans="1:11" ht="47.25" hidden="1" customHeight="1" x14ac:dyDescent="0.25">
      <c r="A1162" s="465" t="str">
        <f>'Анализ стоимости'!$I$58</f>
        <v>Начальник финансового отдела</v>
      </c>
      <c r="B1162" s="466"/>
      <c r="C1162" s="402"/>
      <c r="D1162" s="403" t="str">
        <f>'Анализ стоимости'!$I$59</f>
        <v>А.Ю.Кашуба</v>
      </c>
      <c r="H1162" s="405" t="str">
        <f>A1162</f>
        <v>Начальник финансового отдела</v>
      </c>
      <c r="K1162" s="365" t="str">
        <f>IF($F$43=0,"",1)</f>
        <v/>
      </c>
    </row>
    <row r="1163" spans="1:11" hidden="1" x14ac:dyDescent="0.25">
      <c r="A1163" s="407"/>
      <c r="B1163" s="407"/>
      <c r="C1163" s="407"/>
      <c r="D1163" s="408"/>
      <c r="K1163" s="365" t="str">
        <f>IF($F$43=0,"",1)</f>
        <v/>
      </c>
    </row>
    <row r="1164" spans="1:11" hidden="1" x14ac:dyDescent="0.25">
      <c r="A1164" s="462">
        <f ca="1">TODAY()</f>
        <v>42101</v>
      </c>
      <c r="B1164" s="462"/>
      <c r="C1164" s="371"/>
      <c r="D1164" s="371"/>
      <c r="K1164" s="365" t="str">
        <f>IF($F$43=0,"",1)</f>
        <v/>
      </c>
    </row>
    <row r="1165" spans="1:11" hidden="1" x14ac:dyDescent="0.25">
      <c r="A1165" s="463" t="s">
        <v>312</v>
      </c>
      <c r="B1165" s="463"/>
      <c r="C1165" s="463"/>
      <c r="D1165" s="463"/>
      <c r="H1165" s="369"/>
      <c r="I1165" s="369"/>
      <c r="K1165" s="365" t="str">
        <f t="shared" ref="K1165:K1182" si="174">IF($F$44=0,"",1)</f>
        <v/>
      </c>
    </row>
    <row r="1166" spans="1:11" ht="47.25" hidden="1" customHeight="1" x14ac:dyDescent="0.2">
      <c r="A1166" s="458" t="e">
        <f>CONCATENATE("Наименование объекта: ",VLOOKUP($F$44,таблица,9,0))</f>
        <v>#N/A</v>
      </c>
      <c r="B1166" s="458"/>
      <c r="C1166" s="458"/>
      <c r="D1166" s="458"/>
      <c r="J1166" s="414" t="e">
        <f>A1166</f>
        <v>#N/A</v>
      </c>
      <c r="K1166" s="365" t="str">
        <f t="shared" si="174"/>
        <v/>
      </c>
    </row>
    <row r="1167" spans="1:11" hidden="1" x14ac:dyDescent="0.25">
      <c r="A1167" s="383"/>
      <c r="B1167" s="372"/>
      <c r="C1167" s="372"/>
      <c r="D1167" s="372"/>
      <c r="K1167" s="365" t="str">
        <f t="shared" si="174"/>
        <v/>
      </c>
    </row>
    <row r="1168" spans="1:11" hidden="1" x14ac:dyDescent="0.25">
      <c r="A1168" s="415" t="s">
        <v>218</v>
      </c>
      <c r="B1168" s="378"/>
      <c r="C1168" s="378"/>
      <c r="D1168" s="378"/>
      <c r="K1168" s="365" t="str">
        <f t="shared" si="174"/>
        <v/>
      </c>
    </row>
    <row r="1169" spans="1:11" hidden="1" x14ac:dyDescent="0.25">
      <c r="A1169" s="459" t="s">
        <v>219</v>
      </c>
      <c r="B1169" s="459"/>
      <c r="C1169" s="459"/>
      <c r="D1169" s="459"/>
      <c r="K1169" s="365" t="str">
        <f t="shared" si="174"/>
        <v/>
      </c>
    </row>
    <row r="1170" spans="1:11" ht="31.5" hidden="1" x14ac:dyDescent="0.25">
      <c r="A1170" s="385" t="s">
        <v>111</v>
      </c>
      <c r="B1170" s="385" t="s">
        <v>167</v>
      </c>
      <c r="C1170" s="460" t="e">
        <f>CONCATENATE("Стоимость  согласно сметной документации (руб.) в текущих ценах по состоянию на ",VLOOKUP($F$44,таблица,5,0)," г.")</f>
        <v>#N/A</v>
      </c>
      <c r="D1170" s="461"/>
      <c r="I1170" s="386" t="e">
        <f>C1170</f>
        <v>#N/A</v>
      </c>
      <c r="K1170" s="365" t="str">
        <f t="shared" si="174"/>
        <v/>
      </c>
    </row>
    <row r="1171" spans="1:11" hidden="1" x14ac:dyDescent="0.25">
      <c r="A1171" s="389">
        <v>1</v>
      </c>
      <c r="B1171" s="390" t="s">
        <v>68</v>
      </c>
      <c r="C1171" s="455" t="e">
        <f>VLOOKUP($F$44,таблица,10,0)</f>
        <v>#N/A</v>
      </c>
      <c r="D1171" s="456"/>
      <c r="K1171" s="365" t="str">
        <f t="shared" si="174"/>
        <v/>
      </c>
    </row>
    <row r="1172" spans="1:11" hidden="1" x14ac:dyDescent="0.25">
      <c r="A1172" s="389">
        <v>2</v>
      </c>
      <c r="B1172" s="390" t="s">
        <v>58</v>
      </c>
      <c r="C1172" s="455" t="e">
        <f>VLOOKUP($F$44,таблица,11,0)</f>
        <v>#N/A</v>
      </c>
      <c r="D1172" s="456"/>
      <c r="K1172" s="365" t="str">
        <f t="shared" si="174"/>
        <v/>
      </c>
    </row>
    <row r="1173" spans="1:11" ht="31.5" hidden="1" x14ac:dyDescent="0.25">
      <c r="A1173" s="389">
        <v>3</v>
      </c>
      <c r="B1173" s="390" t="s">
        <v>8</v>
      </c>
      <c r="C1173" s="455" t="e">
        <f>VLOOKUP($F$44,таблица,12,0)</f>
        <v>#N/A</v>
      </c>
      <c r="D1173" s="456"/>
      <c r="K1173" s="365" t="str">
        <f t="shared" si="174"/>
        <v/>
      </c>
    </row>
    <row r="1174" spans="1:11" hidden="1" x14ac:dyDescent="0.25">
      <c r="A1174" s="389">
        <v>4</v>
      </c>
      <c r="B1174" s="390" t="s">
        <v>59</v>
      </c>
      <c r="C1174" s="455" t="e">
        <f>VLOOKUP($F$44,таблица,13,0)</f>
        <v>#N/A</v>
      </c>
      <c r="D1174" s="456"/>
      <c r="K1174" s="365" t="str">
        <f t="shared" si="174"/>
        <v/>
      </c>
    </row>
    <row r="1175" spans="1:11" hidden="1" x14ac:dyDescent="0.25">
      <c r="A1175" s="389">
        <v>5</v>
      </c>
      <c r="B1175" s="390" t="s">
        <v>14</v>
      </c>
      <c r="C1175" s="455" t="e">
        <f>VLOOKUP($F$44,таблица,14,0)</f>
        <v>#N/A</v>
      </c>
      <c r="D1175" s="456"/>
      <c r="K1175" s="365" t="str">
        <f t="shared" si="174"/>
        <v/>
      </c>
    </row>
    <row r="1176" spans="1:11" hidden="1" x14ac:dyDescent="0.25">
      <c r="A1176" s="389">
        <v>6</v>
      </c>
      <c r="B1176" s="390" t="s">
        <v>23</v>
      </c>
      <c r="C1176" s="455" t="e">
        <f>VLOOKUP($F$44,таблица,18,0)</f>
        <v>#N/A</v>
      </c>
      <c r="D1176" s="456"/>
      <c r="K1176" s="365" t="str">
        <f t="shared" si="174"/>
        <v/>
      </c>
    </row>
    <row r="1177" spans="1:11" hidden="1" x14ac:dyDescent="0.25">
      <c r="A1177" s="389">
        <v>7</v>
      </c>
      <c r="B1177" s="390" t="s">
        <v>156</v>
      </c>
      <c r="C1177" s="455" t="e">
        <f>VLOOKUP($F$44,таблица,19,0)+VLOOKUP($F$44,таблица,21,0)+VLOOKUP($F$44,таблица,22,0)+VLOOKUP($F$44,таблица,23,0)+VLOOKUP($F$44,таблица,24,0)+VLOOKUP($F$44,таблица,25,0)+VLOOKUP($F$44,таблица,26,0)</f>
        <v>#N/A</v>
      </c>
      <c r="D1177" s="456"/>
      <c r="K1177" s="365" t="str">
        <f t="shared" si="174"/>
        <v/>
      </c>
    </row>
    <row r="1178" spans="1:11" hidden="1" x14ac:dyDescent="0.25">
      <c r="A1178" s="389">
        <v>8</v>
      </c>
      <c r="B1178" s="390" t="s">
        <v>101</v>
      </c>
      <c r="C1178" s="455" t="e">
        <f>VLOOKUP($F$44,таблица,31,0)</f>
        <v>#N/A</v>
      </c>
      <c r="D1178" s="456"/>
      <c r="K1178" s="365" t="str">
        <f t="shared" si="174"/>
        <v/>
      </c>
    </row>
    <row r="1179" spans="1:11" hidden="1" x14ac:dyDescent="0.25">
      <c r="A1179" s="389">
        <v>9</v>
      </c>
      <c r="B1179" s="390" t="s">
        <v>241</v>
      </c>
      <c r="C1179" s="455" t="e">
        <f>SUM(C1171:D1178)</f>
        <v>#N/A</v>
      </c>
      <c r="D1179" s="456"/>
      <c r="K1179" s="365" t="str">
        <f t="shared" si="174"/>
        <v/>
      </c>
    </row>
    <row r="1180" spans="1:11" hidden="1" x14ac:dyDescent="0.25">
      <c r="A1180" s="464" t="s">
        <v>231</v>
      </c>
      <c r="B1180" s="464"/>
      <c r="C1180" s="464"/>
      <c r="D1180" s="464"/>
      <c r="K1180" s="365" t="str">
        <f t="shared" si="174"/>
        <v/>
      </c>
    </row>
    <row r="1181" spans="1:11" ht="31.5" hidden="1" x14ac:dyDescent="0.25">
      <c r="A1181" s="392" t="s">
        <v>111</v>
      </c>
      <c r="B1181" s="385" t="s">
        <v>36</v>
      </c>
      <c r="C1181" s="385" t="s">
        <v>221</v>
      </c>
      <c r="D1181" s="385" t="s">
        <v>168</v>
      </c>
      <c r="K1181" s="365" t="str">
        <f t="shared" si="174"/>
        <v/>
      </c>
    </row>
    <row r="1182" spans="1:11" hidden="1" x14ac:dyDescent="0.25">
      <c r="A1182" s="389">
        <v>10</v>
      </c>
      <c r="B1182" s="389" t="e">
        <f>VLOOKUP((VLOOKUP($F$44,таблица,8,0)),рем_содер,2,0)</f>
        <v>#N/A</v>
      </c>
      <c r="C1182" s="389"/>
      <c r="D1182" s="390"/>
      <c r="K1182" s="365" t="str">
        <f t="shared" si="174"/>
        <v/>
      </c>
    </row>
    <row r="1183" spans="1:11" hidden="1" x14ac:dyDescent="0.25">
      <c r="A1183" s="389" t="e">
        <f>IF(D1183=0,0,A1182+1)</f>
        <v>#N/A</v>
      </c>
      <c r="B1183" s="390" t="e">
        <f>CONCATENATE("2015 г. (",CHOOSE(VLOOKUP(F$44,таблица,63,0),"Январь","Февраль","Март","Апрель","Май","Июнь","Июль","Август","Сентябрь","Октябрь","Ноябрь","Декабрь")," - ",CHOOSE(VLOOKUP(F$44,таблица,64,0),"Январь","Февраль","Март","Апрель","Май","Июнь","Июль","Август","Сентябрь","Октябрь","Ноябрь","Декабрь"),")")</f>
        <v>#N/A</v>
      </c>
      <c r="C1183" s="389" t="s">
        <v>222</v>
      </c>
      <c r="D1183" s="417" t="e">
        <f>IF(D1185=0,0,VLOOKUP($F$44,таблица,69,0)*100+100)</f>
        <v>#N/A</v>
      </c>
      <c r="K1183" s="365" t="e">
        <f>IF(D1183=0,"",1)</f>
        <v>#N/A</v>
      </c>
    </row>
    <row r="1184" spans="1:11" hidden="1" x14ac:dyDescent="0.25">
      <c r="A1184" s="389" t="e">
        <f>IF(D1184=0,0,IF(D1183=0,A1182+1,A1183+1))</f>
        <v>#N/A</v>
      </c>
      <c r="B1184" s="390" t="e">
        <f>CONCATENATE("2016 г. (",CHOOSE(VLOOKUP(F$44,таблица,65,0),"Январь","Февраль","Март","Апрель","Май","Июнь","Июль","Август","Сентябрь","Октябрь","Ноябрь","Декабрь")," - ",CHOOSE(VLOOKUP(F$44,таблица,66,0),"Январь","Февраль","Март","Апрель","Май","Июнь","Июль","Август","Сентябрь","Октябрь","Ноябрь","Декабрь"),")")</f>
        <v>#N/A</v>
      </c>
      <c r="C1184" s="389" t="s">
        <v>222</v>
      </c>
      <c r="D1184" s="417" t="e">
        <f>IF(D1186=0,0,VLOOKUP($F$44,таблица,70,0)*100+100)</f>
        <v>#N/A</v>
      </c>
      <c r="K1184" s="365" t="e">
        <f t="shared" ref="K1184:K1186" si="175">IF(D1184=0,"",1)</f>
        <v>#N/A</v>
      </c>
    </row>
    <row r="1185" spans="1:11" hidden="1" x14ac:dyDescent="0.25">
      <c r="A1185" s="389" t="e">
        <f>IF(D1185=0,0,IF(D1184=0,A1183+1,A1184+1))</f>
        <v>#N/A</v>
      </c>
      <c r="B1185" s="390" t="s">
        <v>223</v>
      </c>
      <c r="C1185" s="389" t="s">
        <v>224</v>
      </c>
      <c r="D1185" s="394" t="e">
        <f>VLOOKUP($F$44,таблица,46,0)</f>
        <v>#N/A</v>
      </c>
      <c r="K1185" s="365" t="e">
        <f t="shared" si="175"/>
        <v>#N/A</v>
      </c>
    </row>
    <row r="1186" spans="1:11" hidden="1" x14ac:dyDescent="0.25">
      <c r="A1186" s="389" t="e">
        <f>IF(D1186=0,0,IF(D1185=0,A1184+1,A1185+1))</f>
        <v>#N/A</v>
      </c>
      <c r="B1186" s="390" t="s">
        <v>351</v>
      </c>
      <c r="C1186" s="389" t="s">
        <v>224</v>
      </c>
      <c r="D1186" s="394" t="e">
        <f>VLOOKUP($F$44,таблица,56,0)</f>
        <v>#N/A</v>
      </c>
      <c r="K1186" s="365" t="e">
        <f t="shared" si="175"/>
        <v>#N/A</v>
      </c>
    </row>
    <row r="1187" spans="1:11" hidden="1" x14ac:dyDescent="0.25">
      <c r="A1187" s="464" t="s">
        <v>225</v>
      </c>
      <c r="B1187" s="464"/>
      <c r="C1187" s="464"/>
      <c r="D1187" s="464"/>
      <c r="K1187" s="365" t="str">
        <f>IF($F$44=0,"",1)</f>
        <v/>
      </c>
    </row>
    <row r="1188" spans="1:11" ht="31.5" hidden="1" x14ac:dyDescent="0.25">
      <c r="A1188" s="389" t="e">
        <f>IF(D1188=0,0,IF(D1186=0,IF(D1185=0,A1182+1,A1185+1),A1186+1))</f>
        <v>#N/A</v>
      </c>
      <c r="B1188" s="395" t="s">
        <v>275</v>
      </c>
      <c r="C1188" s="389" t="s">
        <v>224</v>
      </c>
      <c r="D1188" s="394" t="e">
        <f>SUM(VLOOKUP($F$44,таблица,41,0),D1185)</f>
        <v>#N/A</v>
      </c>
      <c r="E1188" s="365"/>
      <c r="K1188" s="365" t="e">
        <f t="shared" ref="K1188:K1194" si="176">IF(D1188=0,"",1)</f>
        <v>#N/A</v>
      </c>
    </row>
    <row r="1189" spans="1:11" hidden="1" x14ac:dyDescent="0.25">
      <c r="A1189" s="389" t="e">
        <f>IF(D1189=0,0,A1188+1)</f>
        <v>#N/A</v>
      </c>
      <c r="B1189" s="395" t="s">
        <v>227</v>
      </c>
      <c r="C1189" s="389" t="s">
        <v>224</v>
      </c>
      <c r="D1189" s="394" t="e">
        <f>VLOOKUP($F$44,таблица,51,0)</f>
        <v>#N/A</v>
      </c>
      <c r="E1189" s="365"/>
      <c r="K1189" s="365" t="e">
        <f t="shared" si="176"/>
        <v>#N/A</v>
      </c>
    </row>
    <row r="1190" spans="1:11" hidden="1" x14ac:dyDescent="0.25">
      <c r="A1190" s="389" t="e">
        <f>IF(D1190=0,0,A1189+1)</f>
        <v>#N/A</v>
      </c>
      <c r="B1190" s="395" t="s">
        <v>274</v>
      </c>
      <c r="C1190" s="389" t="s">
        <v>224</v>
      </c>
      <c r="D1190" s="397" t="e">
        <f>SUM(D1188:D1189)</f>
        <v>#N/A</v>
      </c>
      <c r="E1190" s="391" t="e">
        <f>VLOOKUP($F$44,таблица,71,0)</f>
        <v>#N/A</v>
      </c>
      <c r="K1190" s="365" t="e">
        <f t="shared" si="176"/>
        <v>#N/A</v>
      </c>
    </row>
    <row r="1191" spans="1:11" ht="31.5" hidden="1" x14ac:dyDescent="0.25">
      <c r="A1191" s="389" t="e">
        <f>IF(D1191=0,0,IF(D1190=0,IF(D1186=0,A1182+1,A1186+1),A1190+1))</f>
        <v>#N/A</v>
      </c>
      <c r="B1191" s="395" t="s">
        <v>349</v>
      </c>
      <c r="C1191" s="389" t="s">
        <v>224</v>
      </c>
      <c r="D1191" s="394" t="e">
        <f>VLOOKUP($F$44,таблица,36,0)-VLOOKUP($F$44,таблица,41,0)+D1186</f>
        <v>#N/A</v>
      </c>
      <c r="K1191" s="365" t="e">
        <f t="shared" si="176"/>
        <v>#N/A</v>
      </c>
    </row>
    <row r="1192" spans="1:11" hidden="1" x14ac:dyDescent="0.25">
      <c r="A1192" s="389" t="e">
        <f>IF(D1192=0,0,A1191+1)</f>
        <v>#N/A</v>
      </c>
      <c r="B1192" s="395" t="s">
        <v>227</v>
      </c>
      <c r="C1192" s="389" t="s">
        <v>224</v>
      </c>
      <c r="D1192" s="394" t="e">
        <f>VLOOKUP($F$44,таблица,61,0)</f>
        <v>#N/A</v>
      </c>
      <c r="K1192" s="365" t="e">
        <f t="shared" si="176"/>
        <v>#N/A</v>
      </c>
    </row>
    <row r="1193" spans="1:11" hidden="1" x14ac:dyDescent="0.25">
      <c r="A1193" s="389" t="e">
        <f>IF(D1193=0,0,A1192+1)</f>
        <v>#N/A</v>
      </c>
      <c r="B1193" s="395" t="s">
        <v>350</v>
      </c>
      <c r="C1193" s="389" t="s">
        <v>224</v>
      </c>
      <c r="D1193" s="397" t="e">
        <f>SUM(D1191:D1192)</f>
        <v>#N/A</v>
      </c>
      <c r="E1193" s="391" t="e">
        <f>VLOOKUP($F$44,таблица,72,0)</f>
        <v>#N/A</v>
      </c>
      <c r="K1193" s="365" t="e">
        <f t="shared" si="176"/>
        <v>#N/A</v>
      </c>
    </row>
    <row r="1194" spans="1:11" hidden="1" x14ac:dyDescent="0.25">
      <c r="A1194" s="389" t="e">
        <f>IF(D1194=0,0,A1193+1)</f>
        <v>#N/A</v>
      </c>
      <c r="B1194" s="395" t="s">
        <v>226</v>
      </c>
      <c r="C1194" s="389" t="s">
        <v>224</v>
      </c>
      <c r="D1194" s="397" t="e">
        <f>IF(OR(D1190=0,D1193=0),0,D1193+D1190)</f>
        <v>#N/A</v>
      </c>
      <c r="E1194" s="391" t="e">
        <f>VLOOKUP($F$44,таблица,62,0)</f>
        <v>#N/A</v>
      </c>
      <c r="K1194" s="365" t="e">
        <f t="shared" si="176"/>
        <v>#N/A</v>
      </c>
    </row>
    <row r="1195" spans="1:11" hidden="1" x14ac:dyDescent="0.25">
      <c r="A1195" s="400"/>
      <c r="B1195" s="400"/>
      <c r="C1195" s="400"/>
      <c r="D1195" s="401"/>
      <c r="K1195" s="365" t="str">
        <f>IF($F$44=0,"",1)</f>
        <v/>
      </c>
    </row>
    <row r="1196" spans="1:11" ht="47.25" hidden="1" customHeight="1" x14ac:dyDescent="0.25">
      <c r="A1196" s="465" t="str">
        <f>'Анализ стоимости'!$I$58</f>
        <v>Начальник финансового отдела</v>
      </c>
      <c r="B1196" s="466"/>
      <c r="C1196" s="402"/>
      <c r="D1196" s="403" t="str">
        <f>'Анализ стоимости'!$I$59</f>
        <v>А.Ю.Кашуба</v>
      </c>
      <c r="H1196" s="405" t="str">
        <f>A1196</f>
        <v>Начальник финансового отдела</v>
      </c>
      <c r="K1196" s="365" t="str">
        <f>IF($F$44=0,"",1)</f>
        <v/>
      </c>
    </row>
    <row r="1197" spans="1:11" hidden="1" x14ac:dyDescent="0.25">
      <c r="A1197" s="407"/>
      <c r="B1197" s="407"/>
      <c r="C1197" s="407"/>
      <c r="D1197" s="408"/>
      <c r="K1197" s="365" t="str">
        <f>IF($F$44=0,"",1)</f>
        <v/>
      </c>
    </row>
    <row r="1198" spans="1:11" hidden="1" x14ac:dyDescent="0.25">
      <c r="A1198" s="462">
        <f ca="1">TODAY()</f>
        <v>42101</v>
      </c>
      <c r="B1198" s="462"/>
      <c r="C1198" s="371"/>
      <c r="D1198" s="371"/>
      <c r="K1198" s="365" t="str">
        <f>IF($F$44=0,"",1)</f>
        <v/>
      </c>
    </row>
    <row r="1199" spans="1:11" hidden="1" x14ac:dyDescent="0.25">
      <c r="A1199" s="463" t="s">
        <v>313</v>
      </c>
      <c r="B1199" s="463"/>
      <c r="C1199" s="463"/>
      <c r="D1199" s="463"/>
      <c r="H1199" s="369"/>
      <c r="I1199" s="369"/>
      <c r="K1199" s="365" t="str">
        <f>IF($F$45=0,"",1)</f>
        <v/>
      </c>
    </row>
    <row r="1200" spans="1:11" ht="47.25" hidden="1" customHeight="1" x14ac:dyDescent="0.2">
      <c r="A1200" s="458" t="e">
        <f>CONCATENATE("Наименование объекта: ",VLOOKUP($F$45,таблица,9,0))</f>
        <v>#N/A</v>
      </c>
      <c r="B1200" s="458"/>
      <c r="C1200" s="458"/>
      <c r="D1200" s="458"/>
      <c r="J1200" s="414" t="e">
        <f>A1200</f>
        <v>#N/A</v>
      </c>
      <c r="K1200" s="365" t="str">
        <f t="shared" ref="K1200:K1216" si="177">IF($F$45=0,"",1)</f>
        <v/>
      </c>
    </row>
    <row r="1201" spans="1:11" hidden="1" x14ac:dyDescent="0.25">
      <c r="A1201" s="383"/>
      <c r="B1201" s="372"/>
      <c r="C1201" s="372"/>
      <c r="D1201" s="372"/>
      <c r="K1201" s="365" t="str">
        <f t="shared" si="177"/>
        <v/>
      </c>
    </row>
    <row r="1202" spans="1:11" hidden="1" x14ac:dyDescent="0.25">
      <c r="A1202" s="415" t="s">
        <v>218</v>
      </c>
      <c r="B1202" s="378"/>
      <c r="C1202" s="378"/>
      <c r="D1202" s="378"/>
      <c r="K1202" s="365" t="str">
        <f t="shared" si="177"/>
        <v/>
      </c>
    </row>
    <row r="1203" spans="1:11" hidden="1" x14ac:dyDescent="0.25">
      <c r="A1203" s="459" t="s">
        <v>219</v>
      </c>
      <c r="B1203" s="459"/>
      <c r="C1203" s="459"/>
      <c r="D1203" s="459"/>
      <c r="K1203" s="365" t="str">
        <f t="shared" si="177"/>
        <v/>
      </c>
    </row>
    <row r="1204" spans="1:11" ht="31.5" hidden="1" x14ac:dyDescent="0.25">
      <c r="A1204" s="385" t="s">
        <v>111</v>
      </c>
      <c r="B1204" s="385" t="s">
        <v>167</v>
      </c>
      <c r="C1204" s="460" t="e">
        <f>CONCATENATE("Стоимость  согласно сметной документации (руб.) в текущих ценах по состоянию на ",VLOOKUP($F$45,таблица,5,0)," г.")</f>
        <v>#N/A</v>
      </c>
      <c r="D1204" s="461"/>
      <c r="I1204" s="386" t="e">
        <f>C1204</f>
        <v>#N/A</v>
      </c>
      <c r="K1204" s="365" t="str">
        <f t="shared" si="177"/>
        <v/>
      </c>
    </row>
    <row r="1205" spans="1:11" hidden="1" x14ac:dyDescent="0.25">
      <c r="A1205" s="389">
        <v>1</v>
      </c>
      <c r="B1205" s="390" t="s">
        <v>68</v>
      </c>
      <c r="C1205" s="455" t="e">
        <f>VLOOKUP($F$45,таблица,10,0)</f>
        <v>#N/A</v>
      </c>
      <c r="D1205" s="456"/>
      <c r="K1205" s="365" t="str">
        <f t="shared" si="177"/>
        <v/>
      </c>
    </row>
    <row r="1206" spans="1:11" hidden="1" x14ac:dyDescent="0.25">
      <c r="A1206" s="389">
        <v>2</v>
      </c>
      <c r="B1206" s="390" t="s">
        <v>58</v>
      </c>
      <c r="C1206" s="455" t="e">
        <f>VLOOKUP($F$45,таблица,11,0)</f>
        <v>#N/A</v>
      </c>
      <c r="D1206" s="456"/>
      <c r="K1206" s="365" t="str">
        <f t="shared" si="177"/>
        <v/>
      </c>
    </row>
    <row r="1207" spans="1:11" ht="31.5" hidden="1" x14ac:dyDescent="0.25">
      <c r="A1207" s="389">
        <v>3</v>
      </c>
      <c r="B1207" s="390" t="s">
        <v>8</v>
      </c>
      <c r="C1207" s="455" t="e">
        <f>VLOOKUP($F$45,таблица,12,0)</f>
        <v>#N/A</v>
      </c>
      <c r="D1207" s="456"/>
      <c r="K1207" s="365" t="str">
        <f t="shared" si="177"/>
        <v/>
      </c>
    </row>
    <row r="1208" spans="1:11" hidden="1" x14ac:dyDescent="0.25">
      <c r="A1208" s="389">
        <v>4</v>
      </c>
      <c r="B1208" s="390" t="s">
        <v>59</v>
      </c>
      <c r="C1208" s="455" t="e">
        <f>VLOOKUP($F$45,таблица,13,0)</f>
        <v>#N/A</v>
      </c>
      <c r="D1208" s="456"/>
      <c r="K1208" s="365" t="str">
        <f t="shared" si="177"/>
        <v/>
      </c>
    </row>
    <row r="1209" spans="1:11" hidden="1" x14ac:dyDescent="0.25">
      <c r="A1209" s="389">
        <v>5</v>
      </c>
      <c r="B1209" s="390" t="s">
        <v>14</v>
      </c>
      <c r="C1209" s="455" t="e">
        <f>VLOOKUP($F$45,таблица,14,0)</f>
        <v>#N/A</v>
      </c>
      <c r="D1209" s="456"/>
      <c r="K1209" s="365" t="str">
        <f t="shared" si="177"/>
        <v/>
      </c>
    </row>
    <row r="1210" spans="1:11" hidden="1" x14ac:dyDescent="0.25">
      <c r="A1210" s="389">
        <v>6</v>
      </c>
      <c r="B1210" s="390" t="s">
        <v>23</v>
      </c>
      <c r="C1210" s="455" t="e">
        <f>VLOOKUP($F$45,таблица,18,0)</f>
        <v>#N/A</v>
      </c>
      <c r="D1210" s="456"/>
      <c r="K1210" s="365" t="str">
        <f t="shared" si="177"/>
        <v/>
      </c>
    </row>
    <row r="1211" spans="1:11" hidden="1" x14ac:dyDescent="0.25">
      <c r="A1211" s="389">
        <v>7</v>
      </c>
      <c r="B1211" s="390" t="s">
        <v>156</v>
      </c>
      <c r="C1211" s="455" t="e">
        <f>VLOOKUP($F$45,таблица,19,0)+VLOOKUP($F$45,таблица,21,0)+VLOOKUP($F$45,таблица,22,0)+VLOOKUP($F$45,таблица,23,0)+VLOOKUP($F$45,таблица,24,0)+VLOOKUP($F$45,таблица,25,0)+VLOOKUP($F$45,таблица,26,0)</f>
        <v>#N/A</v>
      </c>
      <c r="D1211" s="456"/>
      <c r="K1211" s="365" t="str">
        <f t="shared" si="177"/>
        <v/>
      </c>
    </row>
    <row r="1212" spans="1:11" hidden="1" x14ac:dyDescent="0.25">
      <c r="A1212" s="389">
        <v>8</v>
      </c>
      <c r="B1212" s="390" t="s">
        <v>101</v>
      </c>
      <c r="C1212" s="455" t="e">
        <f>VLOOKUP($F$45,таблица,31,0)</f>
        <v>#N/A</v>
      </c>
      <c r="D1212" s="456"/>
      <c r="K1212" s="365" t="str">
        <f t="shared" si="177"/>
        <v/>
      </c>
    </row>
    <row r="1213" spans="1:11" hidden="1" x14ac:dyDescent="0.25">
      <c r="A1213" s="389">
        <v>9</v>
      </c>
      <c r="B1213" s="390" t="s">
        <v>241</v>
      </c>
      <c r="C1213" s="455" t="e">
        <f>SUM(C1205:D1212)</f>
        <v>#N/A</v>
      </c>
      <c r="D1213" s="456"/>
      <c r="K1213" s="365" t="str">
        <f t="shared" si="177"/>
        <v/>
      </c>
    </row>
    <row r="1214" spans="1:11" hidden="1" x14ac:dyDescent="0.25">
      <c r="A1214" s="464" t="s">
        <v>231</v>
      </c>
      <c r="B1214" s="464"/>
      <c r="C1214" s="464"/>
      <c r="D1214" s="464"/>
      <c r="K1214" s="365" t="str">
        <f t="shared" si="177"/>
        <v/>
      </c>
    </row>
    <row r="1215" spans="1:11" ht="31.5" hidden="1" x14ac:dyDescent="0.25">
      <c r="A1215" s="392" t="s">
        <v>111</v>
      </c>
      <c r="B1215" s="385" t="s">
        <v>36</v>
      </c>
      <c r="C1215" s="385" t="s">
        <v>221</v>
      </c>
      <c r="D1215" s="385" t="s">
        <v>168</v>
      </c>
      <c r="K1215" s="365" t="str">
        <f t="shared" si="177"/>
        <v/>
      </c>
    </row>
    <row r="1216" spans="1:11" hidden="1" x14ac:dyDescent="0.25">
      <c r="A1216" s="389">
        <v>10</v>
      </c>
      <c r="B1216" s="389" t="e">
        <f>VLOOKUP((VLOOKUP($F$45,таблица,8,0)),рем_содер,2,0)</f>
        <v>#N/A</v>
      </c>
      <c r="C1216" s="389"/>
      <c r="D1216" s="390"/>
      <c r="K1216" s="365" t="str">
        <f t="shared" si="177"/>
        <v/>
      </c>
    </row>
    <row r="1217" spans="1:11" hidden="1" x14ac:dyDescent="0.25">
      <c r="A1217" s="389" t="e">
        <f>IF(D1217=0,0,A1216+1)</f>
        <v>#N/A</v>
      </c>
      <c r="B1217" s="390" t="e">
        <f>CONCATENATE("2015 г. (",CHOOSE(VLOOKUP(F$45,таблица,63,0),"Январь","Февраль","Март","Апрель","Май","Июнь","Июль","Август","Сентябрь","Октябрь","Ноябрь","Декабрь")," - ",CHOOSE(VLOOKUP(F$45,таблица,64,0),"Январь","Февраль","Март","Апрель","Май","Июнь","Июль","Август","Сентябрь","Октябрь","Ноябрь","Декабрь"),")")</f>
        <v>#N/A</v>
      </c>
      <c r="C1217" s="389" t="s">
        <v>222</v>
      </c>
      <c r="D1217" s="417" t="e">
        <f>IF(D1219=0,0,VLOOKUP($F$45,таблица,69,0)*100+100)</f>
        <v>#N/A</v>
      </c>
      <c r="K1217" s="365" t="e">
        <f>IF(D1217=0,"",1)</f>
        <v>#N/A</v>
      </c>
    </row>
    <row r="1218" spans="1:11" hidden="1" x14ac:dyDescent="0.25">
      <c r="A1218" s="389" t="e">
        <f>IF(D1218=0,0,IF(D1217=0,A1216+1,A1217+1))</f>
        <v>#N/A</v>
      </c>
      <c r="B1218" s="390" t="e">
        <f>CONCATENATE("2016 г. (",CHOOSE(VLOOKUP(F$45,таблица,65,0),"Январь","Февраль","Март","Апрель","Май","Июнь","Июль","Август","Сентябрь","Октябрь","Ноябрь","Декабрь")," - ",CHOOSE(VLOOKUP(F$45,таблица,66,0),"Январь","Февраль","Март","Апрель","Май","Июнь","Июль","Август","Сентябрь","Октябрь","Ноябрь","Декабрь"),")")</f>
        <v>#N/A</v>
      </c>
      <c r="C1218" s="389" t="s">
        <v>222</v>
      </c>
      <c r="D1218" s="417" t="e">
        <f>IF(D1220=0,0,VLOOKUP($F$45,таблица,70,0)*100+100)</f>
        <v>#N/A</v>
      </c>
      <c r="K1218" s="365" t="e">
        <f t="shared" ref="K1218:K1220" si="178">IF(D1218=0,"",1)</f>
        <v>#N/A</v>
      </c>
    </row>
    <row r="1219" spans="1:11" hidden="1" x14ac:dyDescent="0.25">
      <c r="A1219" s="389" t="e">
        <f>IF(D1219=0,0,IF(D1218=0,A1217+1,A1218+1))</f>
        <v>#N/A</v>
      </c>
      <c r="B1219" s="390" t="s">
        <v>223</v>
      </c>
      <c r="C1219" s="389" t="s">
        <v>224</v>
      </c>
      <c r="D1219" s="394" t="e">
        <f>VLOOKUP($F$45,таблица,46,0)</f>
        <v>#N/A</v>
      </c>
      <c r="K1219" s="365" t="e">
        <f t="shared" si="178"/>
        <v>#N/A</v>
      </c>
    </row>
    <row r="1220" spans="1:11" hidden="1" x14ac:dyDescent="0.25">
      <c r="A1220" s="389" t="e">
        <f>IF(D1220=0,0,IF(D1219=0,A1218+1,A1219+1))</f>
        <v>#N/A</v>
      </c>
      <c r="B1220" s="390" t="s">
        <v>351</v>
      </c>
      <c r="C1220" s="389" t="s">
        <v>224</v>
      </c>
      <c r="D1220" s="394" t="e">
        <f>VLOOKUP($F$45,таблица,56,0)</f>
        <v>#N/A</v>
      </c>
      <c r="K1220" s="365" t="e">
        <f t="shared" si="178"/>
        <v>#N/A</v>
      </c>
    </row>
    <row r="1221" spans="1:11" hidden="1" x14ac:dyDescent="0.25">
      <c r="A1221" s="464" t="s">
        <v>225</v>
      </c>
      <c r="B1221" s="464"/>
      <c r="C1221" s="464"/>
      <c r="D1221" s="464"/>
      <c r="K1221" s="365" t="str">
        <f>IF($F$45=0,"",1)</f>
        <v/>
      </c>
    </row>
    <row r="1222" spans="1:11" ht="31.5" hidden="1" x14ac:dyDescent="0.25">
      <c r="A1222" s="389" t="e">
        <f>IF(D1222=0,0,IF(D1220=0,IF(D1219=0,A1216+1,A1219+1),A1220+1))</f>
        <v>#N/A</v>
      </c>
      <c r="B1222" s="395" t="s">
        <v>275</v>
      </c>
      <c r="C1222" s="389" t="s">
        <v>224</v>
      </c>
      <c r="D1222" s="394" t="e">
        <f>SUM(VLOOKUP($F$45,таблица,41,0),D1219)</f>
        <v>#N/A</v>
      </c>
      <c r="E1222" s="365"/>
      <c r="K1222" s="365" t="e">
        <f t="shared" ref="K1222:K1228" si="179">IF(D1222=0,"",1)</f>
        <v>#N/A</v>
      </c>
    </row>
    <row r="1223" spans="1:11" hidden="1" x14ac:dyDescent="0.25">
      <c r="A1223" s="389" t="e">
        <f>IF(D1223=0,0,A1222+1)</f>
        <v>#N/A</v>
      </c>
      <c r="B1223" s="395" t="s">
        <v>227</v>
      </c>
      <c r="C1223" s="389" t="s">
        <v>224</v>
      </c>
      <c r="D1223" s="394" t="e">
        <f>VLOOKUP($F$45,таблица,51,0)</f>
        <v>#N/A</v>
      </c>
      <c r="E1223" s="365"/>
      <c r="K1223" s="365" t="e">
        <f t="shared" si="179"/>
        <v>#N/A</v>
      </c>
    </row>
    <row r="1224" spans="1:11" hidden="1" x14ac:dyDescent="0.25">
      <c r="A1224" s="389" t="e">
        <f>IF(D1224=0,0,A1223+1)</f>
        <v>#N/A</v>
      </c>
      <c r="B1224" s="395" t="s">
        <v>274</v>
      </c>
      <c r="C1224" s="389" t="s">
        <v>224</v>
      </c>
      <c r="D1224" s="397" t="e">
        <f>SUM(D1222:D1223)</f>
        <v>#N/A</v>
      </c>
      <c r="E1224" s="391" t="e">
        <f>VLOOKUP($F$45,таблица,71,0)</f>
        <v>#N/A</v>
      </c>
      <c r="K1224" s="365" t="e">
        <f t="shared" si="179"/>
        <v>#N/A</v>
      </c>
    </row>
    <row r="1225" spans="1:11" ht="31.5" hidden="1" x14ac:dyDescent="0.25">
      <c r="A1225" s="389" t="e">
        <f>IF(D1225=0,0,IF(D1224=0,IF(D1220=0,A1216+1,A1220+1),A1224+1))</f>
        <v>#N/A</v>
      </c>
      <c r="B1225" s="395" t="s">
        <v>349</v>
      </c>
      <c r="C1225" s="389" t="s">
        <v>224</v>
      </c>
      <c r="D1225" s="394" t="e">
        <f>VLOOKUP($F$45,таблица,36,0)-VLOOKUP($F$45,таблица,41,0)+D1220</f>
        <v>#N/A</v>
      </c>
      <c r="K1225" s="365" t="e">
        <f t="shared" si="179"/>
        <v>#N/A</v>
      </c>
    </row>
    <row r="1226" spans="1:11" hidden="1" x14ac:dyDescent="0.25">
      <c r="A1226" s="389" t="e">
        <f>IF(D1226=0,0,A1225+1)</f>
        <v>#N/A</v>
      </c>
      <c r="B1226" s="395" t="s">
        <v>227</v>
      </c>
      <c r="C1226" s="389" t="s">
        <v>224</v>
      </c>
      <c r="D1226" s="394" t="e">
        <f>VLOOKUP($F$45,таблица,61,0)</f>
        <v>#N/A</v>
      </c>
      <c r="K1226" s="365" t="e">
        <f t="shared" si="179"/>
        <v>#N/A</v>
      </c>
    </row>
    <row r="1227" spans="1:11" hidden="1" x14ac:dyDescent="0.25">
      <c r="A1227" s="389" t="e">
        <f>IF(D1227=0,0,A1226+1)</f>
        <v>#N/A</v>
      </c>
      <c r="B1227" s="395" t="s">
        <v>350</v>
      </c>
      <c r="C1227" s="389" t="s">
        <v>224</v>
      </c>
      <c r="D1227" s="397" t="e">
        <f>SUM(D1225:D1226)</f>
        <v>#N/A</v>
      </c>
      <c r="E1227" s="391" t="e">
        <f>VLOOKUP($F$45,таблица,72,0)</f>
        <v>#N/A</v>
      </c>
      <c r="K1227" s="365" t="e">
        <f t="shared" si="179"/>
        <v>#N/A</v>
      </c>
    </row>
    <row r="1228" spans="1:11" hidden="1" x14ac:dyDescent="0.25">
      <c r="A1228" s="389" t="e">
        <f>IF(D1228=0,0,A1227+1)</f>
        <v>#N/A</v>
      </c>
      <c r="B1228" s="395" t="s">
        <v>226</v>
      </c>
      <c r="C1228" s="389" t="s">
        <v>224</v>
      </c>
      <c r="D1228" s="397" t="e">
        <f>IF(OR(D1224=0,D1227=0),0,D1227+D1224)</f>
        <v>#N/A</v>
      </c>
      <c r="E1228" s="391" t="e">
        <f>VLOOKUP($F$45,таблица,62,0)</f>
        <v>#N/A</v>
      </c>
      <c r="K1228" s="365" t="e">
        <f t="shared" si="179"/>
        <v>#N/A</v>
      </c>
    </row>
    <row r="1229" spans="1:11" hidden="1" x14ac:dyDescent="0.25">
      <c r="A1229" s="400"/>
      <c r="B1229" s="400"/>
      <c r="C1229" s="400"/>
      <c r="D1229" s="401"/>
      <c r="K1229" s="365" t="str">
        <f>IF($F$45=0,"",1)</f>
        <v/>
      </c>
    </row>
    <row r="1230" spans="1:11" ht="47.25" hidden="1" customHeight="1" x14ac:dyDescent="0.25">
      <c r="A1230" s="465" t="str">
        <f>'Анализ стоимости'!$I$58</f>
        <v>Начальник финансового отдела</v>
      </c>
      <c r="B1230" s="466"/>
      <c r="C1230" s="402"/>
      <c r="D1230" s="403" t="str">
        <f>'Анализ стоимости'!$I$59</f>
        <v>А.Ю.Кашуба</v>
      </c>
      <c r="H1230" s="405" t="str">
        <f>A1230</f>
        <v>Начальник финансового отдела</v>
      </c>
      <c r="K1230" s="365" t="str">
        <f>IF($F$45=0,"",1)</f>
        <v/>
      </c>
    </row>
    <row r="1231" spans="1:11" hidden="1" x14ac:dyDescent="0.25">
      <c r="A1231" s="407"/>
      <c r="B1231" s="407"/>
      <c r="C1231" s="407"/>
      <c r="D1231" s="408"/>
      <c r="K1231" s="365" t="str">
        <f>IF($F$45=0,"",1)</f>
        <v/>
      </c>
    </row>
    <row r="1232" spans="1:11" hidden="1" x14ac:dyDescent="0.25">
      <c r="A1232" s="462">
        <f ca="1">TODAY()</f>
        <v>42101</v>
      </c>
      <c r="B1232" s="462"/>
      <c r="C1232" s="371"/>
      <c r="D1232" s="371"/>
      <c r="K1232" s="365" t="str">
        <f>IF($F$45=0,"",1)</f>
        <v/>
      </c>
    </row>
    <row r="1233" spans="1:11" hidden="1" x14ac:dyDescent="0.25">
      <c r="A1233" s="463" t="s">
        <v>314</v>
      </c>
      <c r="B1233" s="463"/>
      <c r="C1233" s="463"/>
      <c r="D1233" s="463"/>
      <c r="H1233" s="369"/>
      <c r="I1233" s="369"/>
      <c r="K1233" s="365" t="str">
        <f>IF($F$46=0,"",1)</f>
        <v/>
      </c>
    </row>
    <row r="1234" spans="1:11" ht="47.25" hidden="1" customHeight="1" x14ac:dyDescent="0.2">
      <c r="A1234" s="458" t="e">
        <f>CONCATENATE("Наименование объекта: ",VLOOKUP($F$46,таблица,9,0))</f>
        <v>#N/A</v>
      </c>
      <c r="B1234" s="458"/>
      <c r="C1234" s="458"/>
      <c r="D1234" s="458"/>
      <c r="J1234" s="414" t="e">
        <f>A1234</f>
        <v>#N/A</v>
      </c>
      <c r="K1234" s="365" t="str">
        <f t="shared" ref="K1234:K1250" si="180">IF($F$46=0,"",1)</f>
        <v/>
      </c>
    </row>
    <row r="1235" spans="1:11" hidden="1" x14ac:dyDescent="0.25">
      <c r="A1235" s="383"/>
      <c r="B1235" s="372"/>
      <c r="C1235" s="372"/>
      <c r="D1235" s="372"/>
      <c r="K1235" s="365" t="str">
        <f t="shared" si="180"/>
        <v/>
      </c>
    </row>
    <row r="1236" spans="1:11" hidden="1" x14ac:dyDescent="0.25">
      <c r="A1236" s="415" t="s">
        <v>218</v>
      </c>
      <c r="B1236" s="378"/>
      <c r="C1236" s="378"/>
      <c r="D1236" s="378"/>
      <c r="K1236" s="365" t="str">
        <f t="shared" si="180"/>
        <v/>
      </c>
    </row>
    <row r="1237" spans="1:11" hidden="1" x14ac:dyDescent="0.25">
      <c r="A1237" s="459" t="s">
        <v>219</v>
      </c>
      <c r="B1237" s="459"/>
      <c r="C1237" s="459"/>
      <c r="D1237" s="459"/>
      <c r="K1237" s="365" t="str">
        <f t="shared" si="180"/>
        <v/>
      </c>
    </row>
    <row r="1238" spans="1:11" ht="31.5" hidden="1" x14ac:dyDescent="0.25">
      <c r="A1238" s="385" t="s">
        <v>111</v>
      </c>
      <c r="B1238" s="385" t="s">
        <v>167</v>
      </c>
      <c r="C1238" s="460" t="e">
        <f>CONCATENATE("Стоимость  согласно сметной документации (руб.) в текущих ценах по состоянию на ",VLOOKUP($F$46,таблица,5,0)," г.")</f>
        <v>#N/A</v>
      </c>
      <c r="D1238" s="461"/>
      <c r="I1238" s="386" t="e">
        <f>C1238</f>
        <v>#N/A</v>
      </c>
      <c r="K1238" s="365" t="str">
        <f t="shared" si="180"/>
        <v/>
      </c>
    </row>
    <row r="1239" spans="1:11" hidden="1" x14ac:dyDescent="0.25">
      <c r="A1239" s="389">
        <v>1</v>
      </c>
      <c r="B1239" s="390" t="s">
        <v>68</v>
      </c>
      <c r="C1239" s="455" t="e">
        <f>VLOOKUP($F$46,таблица,10,0)</f>
        <v>#N/A</v>
      </c>
      <c r="D1239" s="456"/>
      <c r="K1239" s="365" t="str">
        <f t="shared" si="180"/>
        <v/>
      </c>
    </row>
    <row r="1240" spans="1:11" hidden="1" x14ac:dyDescent="0.25">
      <c r="A1240" s="389">
        <v>2</v>
      </c>
      <c r="B1240" s="390" t="s">
        <v>58</v>
      </c>
      <c r="C1240" s="455" t="e">
        <f>VLOOKUP($F$46,таблица,11,0)</f>
        <v>#N/A</v>
      </c>
      <c r="D1240" s="456"/>
      <c r="K1240" s="365" t="str">
        <f t="shared" si="180"/>
        <v/>
      </c>
    </row>
    <row r="1241" spans="1:11" ht="31.5" hidden="1" x14ac:dyDescent="0.25">
      <c r="A1241" s="389">
        <v>3</v>
      </c>
      <c r="B1241" s="390" t="s">
        <v>8</v>
      </c>
      <c r="C1241" s="455" t="e">
        <f>VLOOKUP($F$46,таблица,12,0)</f>
        <v>#N/A</v>
      </c>
      <c r="D1241" s="456"/>
      <c r="K1241" s="365" t="str">
        <f t="shared" si="180"/>
        <v/>
      </c>
    </row>
    <row r="1242" spans="1:11" hidden="1" x14ac:dyDescent="0.25">
      <c r="A1242" s="389">
        <v>4</v>
      </c>
      <c r="B1242" s="390" t="s">
        <v>59</v>
      </c>
      <c r="C1242" s="455" t="e">
        <f>VLOOKUP($F$46,таблица,13,0)</f>
        <v>#N/A</v>
      </c>
      <c r="D1242" s="456"/>
      <c r="K1242" s="365" t="str">
        <f t="shared" si="180"/>
        <v/>
      </c>
    </row>
    <row r="1243" spans="1:11" hidden="1" x14ac:dyDescent="0.25">
      <c r="A1243" s="389">
        <v>5</v>
      </c>
      <c r="B1243" s="390" t="s">
        <v>14</v>
      </c>
      <c r="C1243" s="455" t="e">
        <f>VLOOKUP($F$46,таблица,14,0)</f>
        <v>#N/A</v>
      </c>
      <c r="D1243" s="456"/>
      <c r="K1243" s="365" t="str">
        <f t="shared" si="180"/>
        <v/>
      </c>
    </row>
    <row r="1244" spans="1:11" hidden="1" x14ac:dyDescent="0.25">
      <c r="A1244" s="389">
        <v>6</v>
      </c>
      <c r="B1244" s="390" t="s">
        <v>23</v>
      </c>
      <c r="C1244" s="455" t="e">
        <f>VLOOKUP($F$46,таблица,18,0)</f>
        <v>#N/A</v>
      </c>
      <c r="D1244" s="456"/>
      <c r="K1244" s="365" t="str">
        <f t="shared" si="180"/>
        <v/>
      </c>
    </row>
    <row r="1245" spans="1:11" hidden="1" x14ac:dyDescent="0.25">
      <c r="A1245" s="389">
        <v>7</v>
      </c>
      <c r="B1245" s="390" t="s">
        <v>156</v>
      </c>
      <c r="C1245" s="455" t="e">
        <f>VLOOKUP($F$46,таблица,19,0)+VLOOKUP($F$46,таблица,21,0)+VLOOKUP($F$46,таблица,22,0)+VLOOKUP($F$46,таблица,23,0)+VLOOKUP($F$46,таблица,24,0)+VLOOKUP($F$46,таблица,25,0)+VLOOKUP($F$46,таблица,26,0)</f>
        <v>#N/A</v>
      </c>
      <c r="D1245" s="456"/>
      <c r="K1245" s="365" t="str">
        <f t="shared" si="180"/>
        <v/>
      </c>
    </row>
    <row r="1246" spans="1:11" hidden="1" x14ac:dyDescent="0.25">
      <c r="A1246" s="389">
        <v>8</v>
      </c>
      <c r="B1246" s="390" t="s">
        <v>101</v>
      </c>
      <c r="C1246" s="455" t="e">
        <f>VLOOKUP($F$46,таблица,31,0)</f>
        <v>#N/A</v>
      </c>
      <c r="D1246" s="456"/>
      <c r="K1246" s="365" t="str">
        <f t="shared" si="180"/>
        <v/>
      </c>
    </row>
    <row r="1247" spans="1:11" hidden="1" x14ac:dyDescent="0.25">
      <c r="A1247" s="389">
        <v>9</v>
      </c>
      <c r="B1247" s="390" t="s">
        <v>241</v>
      </c>
      <c r="C1247" s="455" t="e">
        <f>SUM(C1239:D1246)</f>
        <v>#N/A</v>
      </c>
      <c r="D1247" s="456"/>
      <c r="K1247" s="365" t="str">
        <f t="shared" si="180"/>
        <v/>
      </c>
    </row>
    <row r="1248" spans="1:11" hidden="1" x14ac:dyDescent="0.25">
      <c r="A1248" s="464" t="s">
        <v>231</v>
      </c>
      <c r="B1248" s="464"/>
      <c r="C1248" s="464"/>
      <c r="D1248" s="464"/>
      <c r="K1248" s="365" t="str">
        <f t="shared" si="180"/>
        <v/>
      </c>
    </row>
    <row r="1249" spans="1:11" ht="31.5" hidden="1" x14ac:dyDescent="0.25">
      <c r="A1249" s="392" t="s">
        <v>111</v>
      </c>
      <c r="B1249" s="385" t="s">
        <v>36</v>
      </c>
      <c r="C1249" s="385" t="s">
        <v>221</v>
      </c>
      <c r="D1249" s="385" t="s">
        <v>168</v>
      </c>
      <c r="K1249" s="365" t="str">
        <f t="shared" si="180"/>
        <v/>
      </c>
    </row>
    <row r="1250" spans="1:11" hidden="1" x14ac:dyDescent="0.25">
      <c r="A1250" s="389">
        <v>10</v>
      </c>
      <c r="B1250" s="389" t="e">
        <f>VLOOKUP((VLOOKUP($F$46,таблица,8,0)),рем_содер,2,0)</f>
        <v>#N/A</v>
      </c>
      <c r="C1250" s="389"/>
      <c r="D1250" s="390"/>
      <c r="K1250" s="365" t="str">
        <f t="shared" si="180"/>
        <v/>
      </c>
    </row>
    <row r="1251" spans="1:11" hidden="1" x14ac:dyDescent="0.25">
      <c r="A1251" s="389" t="e">
        <f>IF(D1251=0,0,A1250+1)</f>
        <v>#N/A</v>
      </c>
      <c r="B1251" s="390" t="e">
        <f>CONCATENATE("2015 г. (",CHOOSE(VLOOKUP(F$46,таблица,63,0),"Январь","Февраль","Март","Апрель","Май","Июнь","Июль","Август","Сентябрь","Октябрь","Ноябрь","Декабрь")," - ",CHOOSE(VLOOKUP(F$46,таблица,64,0),"Январь","Февраль","Март","Апрель","Май","Июнь","Июль","Август","Сентябрь","Октябрь","Ноябрь","Декабрь"),")")</f>
        <v>#N/A</v>
      </c>
      <c r="C1251" s="389" t="s">
        <v>222</v>
      </c>
      <c r="D1251" s="417" t="e">
        <f>IF(D1253=0,0,VLOOKUP($F$46,таблица,69,0)*100+100)</f>
        <v>#N/A</v>
      </c>
      <c r="K1251" s="365" t="e">
        <f>IF(D1251=0,"",1)</f>
        <v>#N/A</v>
      </c>
    </row>
    <row r="1252" spans="1:11" hidden="1" x14ac:dyDescent="0.25">
      <c r="A1252" s="389" t="e">
        <f>IF(D1252=0,0,IF(D1251=0,A1250+1,A1251+1))</f>
        <v>#N/A</v>
      </c>
      <c r="B1252" s="390" t="e">
        <f>CONCATENATE("2016 г. (",CHOOSE(VLOOKUP(F$46,таблица,65,0),"Январь","Февраль","Март","Апрель","Май","Июнь","Июль","Август","Сентябрь","Октябрь","Ноябрь","Декабрь")," - ",CHOOSE(VLOOKUP(F$46,таблица,66,0),"Январь","Февраль","Март","Апрель","Май","Июнь","Июль","Август","Сентябрь","Октябрь","Ноябрь","Декабрь"),")")</f>
        <v>#N/A</v>
      </c>
      <c r="C1252" s="389" t="s">
        <v>222</v>
      </c>
      <c r="D1252" s="417" t="e">
        <f>IF(D1254=0,0,VLOOKUP($F$46,таблица,70,0)*100+100)</f>
        <v>#N/A</v>
      </c>
      <c r="K1252" s="365" t="e">
        <f t="shared" ref="K1252:K1254" si="181">IF(D1252=0,"",1)</f>
        <v>#N/A</v>
      </c>
    </row>
    <row r="1253" spans="1:11" hidden="1" x14ac:dyDescent="0.25">
      <c r="A1253" s="389" t="e">
        <f>IF(D1253=0,0,IF(D1252=0,A1251+1,A1252+1))</f>
        <v>#N/A</v>
      </c>
      <c r="B1253" s="390" t="s">
        <v>223</v>
      </c>
      <c r="C1253" s="389" t="s">
        <v>224</v>
      </c>
      <c r="D1253" s="394" t="e">
        <f>VLOOKUP($F$46,таблица,46,0)</f>
        <v>#N/A</v>
      </c>
      <c r="K1253" s="365" t="e">
        <f t="shared" si="181"/>
        <v>#N/A</v>
      </c>
    </row>
    <row r="1254" spans="1:11" hidden="1" x14ac:dyDescent="0.25">
      <c r="A1254" s="389" t="e">
        <f>IF(D1254=0,0,IF(D1253=0,A1252+1,A1253+1))</f>
        <v>#N/A</v>
      </c>
      <c r="B1254" s="390" t="s">
        <v>351</v>
      </c>
      <c r="C1254" s="389" t="s">
        <v>224</v>
      </c>
      <c r="D1254" s="394" t="e">
        <f>VLOOKUP($F$46,таблица,56,0)</f>
        <v>#N/A</v>
      </c>
      <c r="K1254" s="365" t="e">
        <f t="shared" si="181"/>
        <v>#N/A</v>
      </c>
    </row>
    <row r="1255" spans="1:11" hidden="1" x14ac:dyDescent="0.25">
      <c r="A1255" s="464" t="s">
        <v>225</v>
      </c>
      <c r="B1255" s="464"/>
      <c r="C1255" s="464"/>
      <c r="D1255" s="464"/>
      <c r="K1255" s="365" t="str">
        <f>IF($F$46=0,"",1)</f>
        <v/>
      </c>
    </row>
    <row r="1256" spans="1:11" ht="31.5" hidden="1" x14ac:dyDescent="0.25">
      <c r="A1256" s="389" t="e">
        <f>IF(D1256=0,0,IF(D1254=0,IF(D1253=0,A1250+1,A1253+1),A1254+1))</f>
        <v>#N/A</v>
      </c>
      <c r="B1256" s="395" t="s">
        <v>275</v>
      </c>
      <c r="C1256" s="389" t="s">
        <v>224</v>
      </c>
      <c r="D1256" s="394" t="e">
        <f>SUM(VLOOKUP($F$46,таблица,41,0),D1253)</f>
        <v>#N/A</v>
      </c>
      <c r="E1256" s="365"/>
      <c r="K1256" s="365" t="e">
        <f t="shared" ref="K1256:K1262" si="182">IF(D1256=0,"",1)</f>
        <v>#N/A</v>
      </c>
    </row>
    <row r="1257" spans="1:11" hidden="1" x14ac:dyDescent="0.25">
      <c r="A1257" s="389" t="e">
        <f>IF(D1257=0,0,A1256+1)</f>
        <v>#N/A</v>
      </c>
      <c r="B1257" s="395" t="s">
        <v>227</v>
      </c>
      <c r="C1257" s="389" t="s">
        <v>224</v>
      </c>
      <c r="D1257" s="394" t="e">
        <f>VLOOKUP($F$46,таблица,51,0)</f>
        <v>#N/A</v>
      </c>
      <c r="E1257" s="365"/>
      <c r="K1257" s="365" t="e">
        <f t="shared" si="182"/>
        <v>#N/A</v>
      </c>
    </row>
    <row r="1258" spans="1:11" hidden="1" x14ac:dyDescent="0.25">
      <c r="A1258" s="389" t="e">
        <f>IF(D1258=0,0,A1257+1)</f>
        <v>#N/A</v>
      </c>
      <c r="B1258" s="395" t="s">
        <v>274</v>
      </c>
      <c r="C1258" s="389" t="s">
        <v>224</v>
      </c>
      <c r="D1258" s="397" t="e">
        <f>SUM(D1256:D1257)</f>
        <v>#N/A</v>
      </c>
      <c r="E1258" s="391" t="e">
        <f>VLOOKUP($F$46,таблица,71,0)</f>
        <v>#N/A</v>
      </c>
      <c r="K1258" s="365" t="e">
        <f t="shared" si="182"/>
        <v>#N/A</v>
      </c>
    </row>
    <row r="1259" spans="1:11" ht="31.5" hidden="1" x14ac:dyDescent="0.25">
      <c r="A1259" s="389" t="e">
        <f>IF(D1259=0,0,IF(D1258=0,IF(D1254=0,A1250+1,A1254+1),A1258+1))</f>
        <v>#N/A</v>
      </c>
      <c r="B1259" s="395" t="s">
        <v>349</v>
      </c>
      <c r="C1259" s="389" t="s">
        <v>224</v>
      </c>
      <c r="D1259" s="394" t="e">
        <f>VLOOKUP($F$46,таблица,36,0)-VLOOKUP($F$46,таблица,41,0)+D1254</f>
        <v>#N/A</v>
      </c>
      <c r="K1259" s="365" t="e">
        <f t="shared" si="182"/>
        <v>#N/A</v>
      </c>
    </row>
    <row r="1260" spans="1:11" hidden="1" x14ac:dyDescent="0.25">
      <c r="A1260" s="389" t="e">
        <f>IF(D1260=0,0,A1259+1)</f>
        <v>#N/A</v>
      </c>
      <c r="B1260" s="395" t="s">
        <v>227</v>
      </c>
      <c r="C1260" s="389" t="s">
        <v>224</v>
      </c>
      <c r="D1260" s="394" t="e">
        <f>VLOOKUP($F$46,таблица,61,0)</f>
        <v>#N/A</v>
      </c>
      <c r="K1260" s="365" t="e">
        <f t="shared" si="182"/>
        <v>#N/A</v>
      </c>
    </row>
    <row r="1261" spans="1:11" hidden="1" x14ac:dyDescent="0.25">
      <c r="A1261" s="389" t="e">
        <f>IF(D1261=0,0,A1260+1)</f>
        <v>#N/A</v>
      </c>
      <c r="B1261" s="395" t="s">
        <v>350</v>
      </c>
      <c r="C1261" s="389" t="s">
        <v>224</v>
      </c>
      <c r="D1261" s="397" t="e">
        <f>SUM(D1259:D1260)</f>
        <v>#N/A</v>
      </c>
      <c r="E1261" s="391" t="e">
        <f>VLOOKUP($F$46,таблица,72,0)</f>
        <v>#N/A</v>
      </c>
      <c r="K1261" s="365" t="e">
        <f t="shared" si="182"/>
        <v>#N/A</v>
      </c>
    </row>
    <row r="1262" spans="1:11" hidden="1" x14ac:dyDescent="0.25">
      <c r="A1262" s="389" t="e">
        <f>IF(D1262=0,0,A1261+1)</f>
        <v>#N/A</v>
      </c>
      <c r="B1262" s="395" t="s">
        <v>226</v>
      </c>
      <c r="C1262" s="389" t="s">
        <v>224</v>
      </c>
      <c r="D1262" s="397" t="e">
        <f>IF(OR(D1258=0,D1261=0),0,D1261+D1258)</f>
        <v>#N/A</v>
      </c>
      <c r="E1262" s="391" t="e">
        <f>VLOOKUP($F$46,таблица,62,0)</f>
        <v>#N/A</v>
      </c>
      <c r="K1262" s="365" t="e">
        <f t="shared" si="182"/>
        <v>#N/A</v>
      </c>
    </row>
    <row r="1263" spans="1:11" hidden="1" x14ac:dyDescent="0.25">
      <c r="A1263" s="400"/>
      <c r="B1263" s="400"/>
      <c r="C1263" s="400"/>
      <c r="D1263" s="401"/>
      <c r="K1263" s="365" t="str">
        <f>IF($F$46=0,"",1)</f>
        <v/>
      </c>
    </row>
    <row r="1264" spans="1:11" ht="47.25" hidden="1" customHeight="1" x14ac:dyDescent="0.25">
      <c r="A1264" s="465" t="str">
        <f>'Анализ стоимости'!$I$58</f>
        <v>Начальник финансового отдела</v>
      </c>
      <c r="B1264" s="466"/>
      <c r="C1264" s="402"/>
      <c r="D1264" s="403" t="str">
        <f>'Анализ стоимости'!$I$59</f>
        <v>А.Ю.Кашуба</v>
      </c>
      <c r="H1264" s="405" t="str">
        <f>A1264</f>
        <v>Начальник финансового отдела</v>
      </c>
      <c r="K1264" s="365" t="str">
        <f>IF($F$46=0,"",1)</f>
        <v/>
      </c>
    </row>
    <row r="1265" spans="1:11" hidden="1" x14ac:dyDescent="0.25">
      <c r="A1265" s="407"/>
      <c r="B1265" s="407"/>
      <c r="C1265" s="407"/>
      <c r="D1265" s="408"/>
      <c r="K1265" s="365" t="str">
        <f>IF($F$46=0,"",1)</f>
        <v/>
      </c>
    </row>
    <row r="1266" spans="1:11" hidden="1" x14ac:dyDescent="0.25">
      <c r="A1266" s="462">
        <f ca="1">TODAY()</f>
        <v>42101</v>
      </c>
      <c r="B1266" s="462"/>
      <c r="C1266" s="371"/>
      <c r="D1266" s="371"/>
      <c r="K1266" s="365" t="str">
        <f>IF($F$46=0,"",1)</f>
        <v/>
      </c>
    </row>
    <row r="1267" spans="1:11" hidden="1" x14ac:dyDescent="0.25">
      <c r="A1267" s="463" t="s">
        <v>315</v>
      </c>
      <c r="B1267" s="463"/>
      <c r="C1267" s="463"/>
      <c r="D1267" s="463"/>
      <c r="H1267" s="369"/>
      <c r="I1267" s="369"/>
      <c r="K1267" s="365" t="str">
        <f>IF($F$47=0,"",1)</f>
        <v/>
      </c>
    </row>
    <row r="1268" spans="1:11" ht="47.25" hidden="1" customHeight="1" x14ac:dyDescent="0.2">
      <c r="A1268" s="458" t="e">
        <f>CONCATENATE("Наименование объекта: ",VLOOKUP($F$47,таблица,9,0))</f>
        <v>#N/A</v>
      </c>
      <c r="B1268" s="458"/>
      <c r="C1268" s="458"/>
      <c r="D1268" s="458"/>
      <c r="J1268" s="414" t="e">
        <f>A1268</f>
        <v>#N/A</v>
      </c>
      <c r="K1268" s="365" t="str">
        <f t="shared" ref="K1268:K1284" si="183">IF($F$47=0,"",1)</f>
        <v/>
      </c>
    </row>
    <row r="1269" spans="1:11" hidden="1" x14ac:dyDescent="0.25">
      <c r="A1269" s="383"/>
      <c r="B1269" s="372"/>
      <c r="C1269" s="372"/>
      <c r="D1269" s="372"/>
      <c r="K1269" s="365" t="str">
        <f t="shared" si="183"/>
        <v/>
      </c>
    </row>
    <row r="1270" spans="1:11" hidden="1" x14ac:dyDescent="0.25">
      <c r="A1270" s="415" t="s">
        <v>218</v>
      </c>
      <c r="B1270" s="378"/>
      <c r="C1270" s="378"/>
      <c r="D1270" s="378"/>
      <c r="K1270" s="365" t="str">
        <f t="shared" si="183"/>
        <v/>
      </c>
    </row>
    <row r="1271" spans="1:11" hidden="1" x14ac:dyDescent="0.25">
      <c r="A1271" s="459" t="s">
        <v>219</v>
      </c>
      <c r="B1271" s="459"/>
      <c r="C1271" s="459"/>
      <c r="D1271" s="459"/>
      <c r="K1271" s="365" t="str">
        <f t="shared" si="183"/>
        <v/>
      </c>
    </row>
    <row r="1272" spans="1:11" ht="31.5" hidden="1" x14ac:dyDescent="0.25">
      <c r="A1272" s="385" t="s">
        <v>111</v>
      </c>
      <c r="B1272" s="385" t="s">
        <v>167</v>
      </c>
      <c r="C1272" s="460" t="e">
        <f>CONCATENATE("Стоимость  согласно сметной документации (руб.) в текущих ценах по состоянию на ",VLOOKUP($F$47,таблица,5,0)," г.")</f>
        <v>#N/A</v>
      </c>
      <c r="D1272" s="461"/>
      <c r="I1272" s="386" t="e">
        <f>C1272</f>
        <v>#N/A</v>
      </c>
      <c r="K1272" s="365" t="str">
        <f t="shared" si="183"/>
        <v/>
      </c>
    </row>
    <row r="1273" spans="1:11" hidden="1" x14ac:dyDescent="0.25">
      <c r="A1273" s="389">
        <v>1</v>
      </c>
      <c r="B1273" s="390" t="s">
        <v>68</v>
      </c>
      <c r="C1273" s="455" t="e">
        <f>VLOOKUP($F$47,таблица,10,0)</f>
        <v>#N/A</v>
      </c>
      <c r="D1273" s="456"/>
      <c r="K1273" s="365" t="str">
        <f t="shared" si="183"/>
        <v/>
      </c>
    </row>
    <row r="1274" spans="1:11" hidden="1" x14ac:dyDescent="0.25">
      <c r="A1274" s="389">
        <v>2</v>
      </c>
      <c r="B1274" s="390" t="s">
        <v>58</v>
      </c>
      <c r="C1274" s="455" t="e">
        <f>VLOOKUP($F$47,таблица,11,0)</f>
        <v>#N/A</v>
      </c>
      <c r="D1274" s="456"/>
      <c r="K1274" s="365" t="str">
        <f t="shared" si="183"/>
        <v/>
      </c>
    </row>
    <row r="1275" spans="1:11" ht="31.5" hidden="1" x14ac:dyDescent="0.25">
      <c r="A1275" s="389">
        <v>3</v>
      </c>
      <c r="B1275" s="390" t="s">
        <v>8</v>
      </c>
      <c r="C1275" s="455" t="e">
        <f>VLOOKUP($F$47,таблица,12,0)</f>
        <v>#N/A</v>
      </c>
      <c r="D1275" s="456"/>
      <c r="K1275" s="365" t="str">
        <f t="shared" si="183"/>
        <v/>
      </c>
    </row>
    <row r="1276" spans="1:11" hidden="1" x14ac:dyDescent="0.25">
      <c r="A1276" s="389">
        <v>4</v>
      </c>
      <c r="B1276" s="390" t="s">
        <v>59</v>
      </c>
      <c r="C1276" s="455" t="e">
        <f>VLOOKUP($F$47,таблица,13,0)</f>
        <v>#N/A</v>
      </c>
      <c r="D1276" s="456"/>
      <c r="K1276" s="365" t="str">
        <f t="shared" si="183"/>
        <v/>
      </c>
    </row>
    <row r="1277" spans="1:11" hidden="1" x14ac:dyDescent="0.25">
      <c r="A1277" s="389">
        <v>5</v>
      </c>
      <c r="B1277" s="390" t="s">
        <v>14</v>
      </c>
      <c r="C1277" s="455" t="e">
        <f>VLOOKUP($F$47,таблица,14,0)</f>
        <v>#N/A</v>
      </c>
      <c r="D1277" s="456"/>
      <c r="K1277" s="365" t="str">
        <f t="shared" si="183"/>
        <v/>
      </c>
    </row>
    <row r="1278" spans="1:11" hidden="1" x14ac:dyDescent="0.25">
      <c r="A1278" s="389">
        <v>6</v>
      </c>
      <c r="B1278" s="390" t="s">
        <v>23</v>
      </c>
      <c r="C1278" s="455" t="e">
        <f>VLOOKUP($F$47,таблица,18,0)</f>
        <v>#N/A</v>
      </c>
      <c r="D1278" s="456"/>
      <c r="K1278" s="365" t="str">
        <f t="shared" si="183"/>
        <v/>
      </c>
    </row>
    <row r="1279" spans="1:11" hidden="1" x14ac:dyDescent="0.25">
      <c r="A1279" s="389">
        <v>7</v>
      </c>
      <c r="B1279" s="390" t="s">
        <v>156</v>
      </c>
      <c r="C1279" s="455" t="e">
        <f>VLOOKUP($F$47,таблица,19,0)+VLOOKUP($F$47,таблица,21,0)+VLOOKUP($F$47,таблица,22,0)+VLOOKUP($F$47,таблица,23,0)+VLOOKUP($F$47,таблица,24,0)+VLOOKUP($F$47,таблица,25,0)+VLOOKUP($F$47,таблица,26,0)</f>
        <v>#N/A</v>
      </c>
      <c r="D1279" s="456"/>
      <c r="K1279" s="365" t="str">
        <f t="shared" si="183"/>
        <v/>
      </c>
    </row>
    <row r="1280" spans="1:11" hidden="1" x14ac:dyDescent="0.25">
      <c r="A1280" s="389">
        <v>8</v>
      </c>
      <c r="B1280" s="390" t="s">
        <v>101</v>
      </c>
      <c r="C1280" s="455" t="e">
        <f>VLOOKUP($F$47,таблица,31,0)</f>
        <v>#N/A</v>
      </c>
      <c r="D1280" s="456"/>
      <c r="K1280" s="365" t="str">
        <f t="shared" si="183"/>
        <v/>
      </c>
    </row>
    <row r="1281" spans="1:11" hidden="1" x14ac:dyDescent="0.25">
      <c r="A1281" s="389">
        <v>9</v>
      </c>
      <c r="B1281" s="390" t="s">
        <v>241</v>
      </c>
      <c r="C1281" s="455" t="e">
        <f>SUM(C1273:D1280)</f>
        <v>#N/A</v>
      </c>
      <c r="D1281" s="456"/>
      <c r="K1281" s="365" t="str">
        <f t="shared" si="183"/>
        <v/>
      </c>
    </row>
    <row r="1282" spans="1:11" hidden="1" x14ac:dyDescent="0.25">
      <c r="A1282" s="464" t="s">
        <v>231</v>
      </c>
      <c r="B1282" s="464"/>
      <c r="C1282" s="464"/>
      <c r="D1282" s="464"/>
      <c r="K1282" s="365" t="str">
        <f t="shared" si="183"/>
        <v/>
      </c>
    </row>
    <row r="1283" spans="1:11" ht="31.5" hidden="1" x14ac:dyDescent="0.25">
      <c r="A1283" s="392" t="s">
        <v>111</v>
      </c>
      <c r="B1283" s="385" t="s">
        <v>36</v>
      </c>
      <c r="C1283" s="385" t="s">
        <v>221</v>
      </c>
      <c r="D1283" s="385" t="s">
        <v>168</v>
      </c>
      <c r="K1283" s="365" t="str">
        <f t="shared" si="183"/>
        <v/>
      </c>
    </row>
    <row r="1284" spans="1:11" hidden="1" x14ac:dyDescent="0.25">
      <c r="A1284" s="389">
        <v>10</v>
      </c>
      <c r="B1284" s="389" t="e">
        <f>VLOOKUP((VLOOKUP($F$47,таблица,8,0)),рем_содер,2,0)</f>
        <v>#N/A</v>
      </c>
      <c r="C1284" s="389"/>
      <c r="D1284" s="390"/>
      <c r="K1284" s="365" t="str">
        <f t="shared" si="183"/>
        <v/>
      </c>
    </row>
    <row r="1285" spans="1:11" hidden="1" x14ac:dyDescent="0.25">
      <c r="A1285" s="389" t="e">
        <f>IF(D1285=0,0,A1284+1)</f>
        <v>#N/A</v>
      </c>
      <c r="B1285" s="390" t="e">
        <f>CONCATENATE("2015 г. (",CHOOSE(VLOOKUP(F$47,таблица,63,0),"Январь","Февраль","Март","Апрель","Май","Июнь","Июль","Август","Сентябрь","Октябрь","Ноябрь","Декабрь")," - ",CHOOSE(VLOOKUP(F$47,таблица,64,0),"Январь","Февраль","Март","Апрель","Май","Июнь","Июль","Август","Сентябрь","Октябрь","Ноябрь","Декабрь"),")")</f>
        <v>#N/A</v>
      </c>
      <c r="C1285" s="389" t="s">
        <v>222</v>
      </c>
      <c r="D1285" s="417" t="e">
        <f>IF(D1287=0,0,VLOOKUP($F$47,таблица,69,0)*100+100)</f>
        <v>#N/A</v>
      </c>
      <c r="K1285" s="365" t="e">
        <f>IF(D1285=0,"",1)</f>
        <v>#N/A</v>
      </c>
    </row>
    <row r="1286" spans="1:11" hidden="1" x14ac:dyDescent="0.25">
      <c r="A1286" s="389" t="e">
        <f>IF(D1286=0,0,IF(D1285=0,A1284+1,A1285+1))</f>
        <v>#N/A</v>
      </c>
      <c r="B1286" s="390" t="e">
        <f>CONCATENATE("2016 г. (",CHOOSE(VLOOKUP(F$47,таблица,65,0),"Январь","Февраль","Март","Апрель","Май","Июнь","Июль","Август","Сентябрь","Октябрь","Ноябрь","Декабрь")," - ",CHOOSE(VLOOKUP(F$47,таблица,66,0),"Январь","Февраль","Март","Апрель","Май","Июнь","Июль","Август","Сентябрь","Октябрь","Ноябрь","Декабрь"),")")</f>
        <v>#N/A</v>
      </c>
      <c r="C1286" s="389" t="s">
        <v>222</v>
      </c>
      <c r="D1286" s="417" t="e">
        <f>IF(D1288=0,0,VLOOKUP($F$47,таблица,70,0)*100+100)</f>
        <v>#N/A</v>
      </c>
      <c r="K1286" s="365" t="e">
        <f t="shared" ref="K1286:K1288" si="184">IF(D1286=0,"",1)</f>
        <v>#N/A</v>
      </c>
    </row>
    <row r="1287" spans="1:11" hidden="1" x14ac:dyDescent="0.25">
      <c r="A1287" s="389" t="e">
        <f>IF(D1287=0,0,IF(D1286=0,A1285+1,A1286+1))</f>
        <v>#N/A</v>
      </c>
      <c r="B1287" s="390" t="s">
        <v>223</v>
      </c>
      <c r="C1287" s="389" t="s">
        <v>224</v>
      </c>
      <c r="D1287" s="394" t="e">
        <f>VLOOKUP($F$47,таблица,46,0)</f>
        <v>#N/A</v>
      </c>
      <c r="K1287" s="365" t="e">
        <f t="shared" si="184"/>
        <v>#N/A</v>
      </c>
    </row>
    <row r="1288" spans="1:11" hidden="1" x14ac:dyDescent="0.25">
      <c r="A1288" s="389" t="e">
        <f>IF(D1288=0,0,IF(D1287=0,A1286+1,A1287+1))</f>
        <v>#N/A</v>
      </c>
      <c r="B1288" s="390" t="s">
        <v>351</v>
      </c>
      <c r="C1288" s="389" t="s">
        <v>224</v>
      </c>
      <c r="D1288" s="394" t="e">
        <f>VLOOKUP($F$47,таблица,56,0)</f>
        <v>#N/A</v>
      </c>
      <c r="K1288" s="365" t="e">
        <f t="shared" si="184"/>
        <v>#N/A</v>
      </c>
    </row>
    <row r="1289" spans="1:11" hidden="1" x14ac:dyDescent="0.25">
      <c r="A1289" s="464" t="s">
        <v>225</v>
      </c>
      <c r="B1289" s="464"/>
      <c r="C1289" s="464"/>
      <c r="D1289" s="464"/>
      <c r="K1289" s="365" t="str">
        <f>IF($F$47=0,"",1)</f>
        <v/>
      </c>
    </row>
    <row r="1290" spans="1:11" ht="31.5" hidden="1" x14ac:dyDescent="0.25">
      <c r="A1290" s="389" t="e">
        <f>IF(D1290=0,0,IF(D1288=0,IF(D1287=0,A1284+1,A1287+1),A1288+1))</f>
        <v>#N/A</v>
      </c>
      <c r="B1290" s="395" t="s">
        <v>275</v>
      </c>
      <c r="C1290" s="389" t="s">
        <v>224</v>
      </c>
      <c r="D1290" s="394" t="e">
        <f>SUM(VLOOKUP($F$47,таблица,41,0),D1287)</f>
        <v>#N/A</v>
      </c>
      <c r="E1290" s="365"/>
      <c r="K1290" s="365" t="e">
        <f t="shared" ref="K1290:K1296" si="185">IF(D1290=0,"",1)</f>
        <v>#N/A</v>
      </c>
    </row>
    <row r="1291" spans="1:11" hidden="1" x14ac:dyDescent="0.25">
      <c r="A1291" s="389" t="e">
        <f>IF(D1291=0,0,A1290+1)</f>
        <v>#N/A</v>
      </c>
      <c r="B1291" s="395" t="s">
        <v>227</v>
      </c>
      <c r="C1291" s="389" t="s">
        <v>224</v>
      </c>
      <c r="D1291" s="394" t="e">
        <f>VLOOKUP($F$47,таблица,51,0)</f>
        <v>#N/A</v>
      </c>
      <c r="E1291" s="365"/>
      <c r="K1291" s="365" t="e">
        <f t="shared" si="185"/>
        <v>#N/A</v>
      </c>
    </row>
    <row r="1292" spans="1:11" hidden="1" x14ac:dyDescent="0.25">
      <c r="A1292" s="389" t="e">
        <f>IF(D1292=0,0,A1291+1)</f>
        <v>#N/A</v>
      </c>
      <c r="B1292" s="395" t="s">
        <v>274</v>
      </c>
      <c r="C1292" s="389" t="s">
        <v>224</v>
      </c>
      <c r="D1292" s="397" t="e">
        <f>SUM(D1290:D1291)</f>
        <v>#N/A</v>
      </c>
      <c r="E1292" s="391" t="e">
        <f>VLOOKUP($F$47,таблица,71,0)</f>
        <v>#N/A</v>
      </c>
      <c r="K1292" s="365" t="e">
        <f t="shared" si="185"/>
        <v>#N/A</v>
      </c>
    </row>
    <row r="1293" spans="1:11" ht="31.5" hidden="1" x14ac:dyDescent="0.25">
      <c r="A1293" s="389" t="e">
        <f>IF(D1293=0,0,IF(D1292=0,IF(D1288=0,A1284+1,A1288+1),A1292+1))</f>
        <v>#N/A</v>
      </c>
      <c r="B1293" s="395" t="s">
        <v>349</v>
      </c>
      <c r="C1293" s="389" t="s">
        <v>224</v>
      </c>
      <c r="D1293" s="394" t="e">
        <f>VLOOKUP($F$47,таблица,36,0)-VLOOKUP($F$47,таблица,41,0)+D1288</f>
        <v>#N/A</v>
      </c>
      <c r="K1293" s="365" t="e">
        <f t="shared" si="185"/>
        <v>#N/A</v>
      </c>
    </row>
    <row r="1294" spans="1:11" hidden="1" x14ac:dyDescent="0.25">
      <c r="A1294" s="389" t="e">
        <f>IF(D1294=0,0,A1293+1)</f>
        <v>#N/A</v>
      </c>
      <c r="B1294" s="395" t="s">
        <v>227</v>
      </c>
      <c r="C1294" s="389" t="s">
        <v>224</v>
      </c>
      <c r="D1294" s="394" t="e">
        <f>VLOOKUP($F$47,таблица,61,0)</f>
        <v>#N/A</v>
      </c>
      <c r="K1294" s="365" t="e">
        <f t="shared" si="185"/>
        <v>#N/A</v>
      </c>
    </row>
    <row r="1295" spans="1:11" hidden="1" x14ac:dyDescent="0.25">
      <c r="A1295" s="389" t="e">
        <f>IF(D1295=0,0,A1294+1)</f>
        <v>#N/A</v>
      </c>
      <c r="B1295" s="395" t="s">
        <v>350</v>
      </c>
      <c r="C1295" s="389" t="s">
        <v>224</v>
      </c>
      <c r="D1295" s="397" t="e">
        <f>SUM(D1293:D1294)</f>
        <v>#N/A</v>
      </c>
      <c r="E1295" s="391" t="e">
        <f>VLOOKUP($F$47,таблица,72,0)</f>
        <v>#N/A</v>
      </c>
      <c r="K1295" s="365" t="e">
        <f t="shared" si="185"/>
        <v>#N/A</v>
      </c>
    </row>
    <row r="1296" spans="1:11" hidden="1" x14ac:dyDescent="0.25">
      <c r="A1296" s="389" t="e">
        <f>IF(D1296=0,0,A1295+1)</f>
        <v>#N/A</v>
      </c>
      <c r="B1296" s="395" t="s">
        <v>226</v>
      </c>
      <c r="C1296" s="389" t="s">
        <v>224</v>
      </c>
      <c r="D1296" s="397" t="e">
        <f>IF(OR(D1292=0,D1295=0),0,D1295+D1292)</f>
        <v>#N/A</v>
      </c>
      <c r="E1296" s="391" t="e">
        <f>VLOOKUP($F$47,таблица,62,0)</f>
        <v>#N/A</v>
      </c>
      <c r="K1296" s="365" t="e">
        <f t="shared" si="185"/>
        <v>#N/A</v>
      </c>
    </row>
    <row r="1297" spans="1:11" hidden="1" x14ac:dyDescent="0.25">
      <c r="A1297" s="400"/>
      <c r="B1297" s="400"/>
      <c r="C1297" s="400"/>
      <c r="D1297" s="401"/>
      <c r="K1297" s="365" t="str">
        <f>IF($F$47=0,"",1)</f>
        <v/>
      </c>
    </row>
    <row r="1298" spans="1:11" ht="47.25" hidden="1" customHeight="1" x14ac:dyDescent="0.25">
      <c r="A1298" s="465" t="str">
        <f>'Анализ стоимости'!$I$58</f>
        <v>Начальник финансового отдела</v>
      </c>
      <c r="B1298" s="466"/>
      <c r="C1298" s="402"/>
      <c r="D1298" s="403" t="str">
        <f>'Анализ стоимости'!$I$59</f>
        <v>А.Ю.Кашуба</v>
      </c>
      <c r="H1298" s="405" t="str">
        <f>A1298</f>
        <v>Начальник финансового отдела</v>
      </c>
      <c r="K1298" s="365" t="str">
        <f>IF($F$47=0,"",1)</f>
        <v/>
      </c>
    </row>
    <row r="1299" spans="1:11" hidden="1" x14ac:dyDescent="0.25">
      <c r="A1299" s="407"/>
      <c r="B1299" s="407"/>
      <c r="C1299" s="407"/>
      <c r="D1299" s="408"/>
      <c r="K1299" s="365" t="str">
        <f>IF($F$47=0,"",1)</f>
        <v/>
      </c>
    </row>
    <row r="1300" spans="1:11" hidden="1" x14ac:dyDescent="0.25">
      <c r="A1300" s="462">
        <f ca="1">TODAY()</f>
        <v>42101</v>
      </c>
      <c r="B1300" s="462"/>
      <c r="C1300" s="371"/>
      <c r="D1300" s="371"/>
      <c r="K1300" s="365" t="str">
        <f>IF($F$47=0,"",1)</f>
        <v/>
      </c>
    </row>
    <row r="1301" spans="1:11" hidden="1" x14ac:dyDescent="0.25">
      <c r="A1301" s="463" t="s">
        <v>316</v>
      </c>
      <c r="B1301" s="463"/>
      <c r="C1301" s="463"/>
      <c r="D1301" s="463"/>
      <c r="H1301" s="369"/>
      <c r="I1301" s="369"/>
      <c r="K1301" s="365" t="str">
        <f t="shared" ref="K1301:K1318" si="186">IF($F$48=0,"",1)</f>
        <v/>
      </c>
    </row>
    <row r="1302" spans="1:11" ht="47.25" hidden="1" customHeight="1" x14ac:dyDescent="0.2">
      <c r="A1302" s="458" t="e">
        <f>CONCATENATE("Наименование объекта: ",VLOOKUP($F$48,таблица,9,0))</f>
        <v>#N/A</v>
      </c>
      <c r="B1302" s="458"/>
      <c r="C1302" s="458"/>
      <c r="D1302" s="458"/>
      <c r="J1302" s="414" t="e">
        <f>A1302</f>
        <v>#N/A</v>
      </c>
      <c r="K1302" s="365" t="str">
        <f t="shared" si="186"/>
        <v/>
      </c>
    </row>
    <row r="1303" spans="1:11" hidden="1" x14ac:dyDescent="0.25">
      <c r="A1303" s="383"/>
      <c r="B1303" s="372"/>
      <c r="C1303" s="372"/>
      <c r="D1303" s="372"/>
      <c r="K1303" s="365" t="str">
        <f t="shared" si="186"/>
        <v/>
      </c>
    </row>
    <row r="1304" spans="1:11" hidden="1" x14ac:dyDescent="0.25">
      <c r="A1304" s="415" t="s">
        <v>218</v>
      </c>
      <c r="B1304" s="378"/>
      <c r="C1304" s="378"/>
      <c r="D1304" s="378"/>
      <c r="K1304" s="365" t="str">
        <f t="shared" si="186"/>
        <v/>
      </c>
    </row>
    <row r="1305" spans="1:11" hidden="1" x14ac:dyDescent="0.25">
      <c r="A1305" s="459" t="s">
        <v>219</v>
      </c>
      <c r="B1305" s="459"/>
      <c r="C1305" s="459"/>
      <c r="D1305" s="459"/>
      <c r="K1305" s="365" t="str">
        <f t="shared" si="186"/>
        <v/>
      </c>
    </row>
    <row r="1306" spans="1:11" ht="31.5" hidden="1" x14ac:dyDescent="0.25">
      <c r="A1306" s="385" t="s">
        <v>111</v>
      </c>
      <c r="B1306" s="385" t="s">
        <v>167</v>
      </c>
      <c r="C1306" s="460" t="e">
        <f>CONCATENATE("Стоимость  согласно сметной документации (руб.) в текущих ценах по состоянию на ",VLOOKUP($F$48,таблица,5,0)," г.")</f>
        <v>#N/A</v>
      </c>
      <c r="D1306" s="461"/>
      <c r="I1306" s="386" t="e">
        <f>C1306</f>
        <v>#N/A</v>
      </c>
      <c r="K1306" s="365" t="str">
        <f t="shared" si="186"/>
        <v/>
      </c>
    </row>
    <row r="1307" spans="1:11" hidden="1" x14ac:dyDescent="0.25">
      <c r="A1307" s="389">
        <v>1</v>
      </c>
      <c r="B1307" s="390" t="s">
        <v>68</v>
      </c>
      <c r="C1307" s="455" t="e">
        <f>VLOOKUP($F$48,таблица,10,0)</f>
        <v>#N/A</v>
      </c>
      <c r="D1307" s="456"/>
      <c r="K1307" s="365" t="str">
        <f t="shared" si="186"/>
        <v/>
      </c>
    </row>
    <row r="1308" spans="1:11" hidden="1" x14ac:dyDescent="0.25">
      <c r="A1308" s="389">
        <v>2</v>
      </c>
      <c r="B1308" s="390" t="s">
        <v>58</v>
      </c>
      <c r="C1308" s="455" t="e">
        <f>VLOOKUP($F$48,таблица,11,0)</f>
        <v>#N/A</v>
      </c>
      <c r="D1308" s="456"/>
      <c r="K1308" s="365" t="str">
        <f t="shared" si="186"/>
        <v/>
      </c>
    </row>
    <row r="1309" spans="1:11" ht="31.5" hidden="1" x14ac:dyDescent="0.25">
      <c r="A1309" s="389">
        <v>3</v>
      </c>
      <c r="B1309" s="390" t="s">
        <v>8</v>
      </c>
      <c r="C1309" s="455" t="e">
        <f>VLOOKUP($F$48,таблица,12,0)</f>
        <v>#N/A</v>
      </c>
      <c r="D1309" s="456"/>
      <c r="K1309" s="365" t="str">
        <f t="shared" si="186"/>
        <v/>
      </c>
    </row>
    <row r="1310" spans="1:11" hidden="1" x14ac:dyDescent="0.25">
      <c r="A1310" s="389">
        <v>4</v>
      </c>
      <c r="B1310" s="390" t="s">
        <v>59</v>
      </c>
      <c r="C1310" s="455" t="e">
        <f>VLOOKUP($F$48,таблица,13,0)</f>
        <v>#N/A</v>
      </c>
      <c r="D1310" s="456"/>
      <c r="K1310" s="365" t="str">
        <f t="shared" si="186"/>
        <v/>
      </c>
    </row>
    <row r="1311" spans="1:11" hidden="1" x14ac:dyDescent="0.25">
      <c r="A1311" s="389">
        <v>5</v>
      </c>
      <c r="B1311" s="390" t="s">
        <v>14</v>
      </c>
      <c r="C1311" s="455" t="e">
        <f>VLOOKUP($F$48,таблица,14,0)</f>
        <v>#N/A</v>
      </c>
      <c r="D1311" s="456"/>
      <c r="K1311" s="365" t="str">
        <f t="shared" si="186"/>
        <v/>
      </c>
    </row>
    <row r="1312" spans="1:11" hidden="1" x14ac:dyDescent="0.25">
      <c r="A1312" s="389">
        <v>6</v>
      </c>
      <c r="B1312" s="390" t="s">
        <v>23</v>
      </c>
      <c r="C1312" s="455" t="e">
        <f>VLOOKUP($F$48,таблица,18,0)</f>
        <v>#N/A</v>
      </c>
      <c r="D1312" s="456"/>
      <c r="K1312" s="365" t="str">
        <f t="shared" si="186"/>
        <v/>
      </c>
    </row>
    <row r="1313" spans="1:11" hidden="1" x14ac:dyDescent="0.25">
      <c r="A1313" s="389">
        <v>7</v>
      </c>
      <c r="B1313" s="390" t="s">
        <v>156</v>
      </c>
      <c r="C1313" s="455" t="e">
        <f>VLOOKUP($F$48,таблица,19,0)+VLOOKUP($F$48,таблица,21,0)+VLOOKUP($F$48,таблица,22,0)+VLOOKUP($F$48,таблица,23,0)+VLOOKUP($F$48,таблица,24,0)+VLOOKUP($F$48,таблица,25,0)+VLOOKUP($F$48,таблица,26,0)</f>
        <v>#N/A</v>
      </c>
      <c r="D1313" s="456"/>
      <c r="K1313" s="365" t="str">
        <f t="shared" si="186"/>
        <v/>
      </c>
    </row>
    <row r="1314" spans="1:11" hidden="1" x14ac:dyDescent="0.25">
      <c r="A1314" s="389">
        <v>8</v>
      </c>
      <c r="B1314" s="390" t="s">
        <v>101</v>
      </c>
      <c r="C1314" s="455" t="e">
        <f>VLOOKUP($F$48,таблица,31,0)</f>
        <v>#N/A</v>
      </c>
      <c r="D1314" s="456"/>
      <c r="K1314" s="365" t="str">
        <f t="shared" si="186"/>
        <v/>
      </c>
    </row>
    <row r="1315" spans="1:11" hidden="1" x14ac:dyDescent="0.25">
      <c r="A1315" s="389">
        <v>9</v>
      </c>
      <c r="B1315" s="390" t="s">
        <v>241</v>
      </c>
      <c r="C1315" s="455" t="e">
        <f>SUM(C1307:D1314)</f>
        <v>#N/A</v>
      </c>
      <c r="D1315" s="456"/>
      <c r="K1315" s="365" t="str">
        <f t="shared" si="186"/>
        <v/>
      </c>
    </row>
    <row r="1316" spans="1:11" hidden="1" x14ac:dyDescent="0.25">
      <c r="A1316" s="464" t="s">
        <v>231</v>
      </c>
      <c r="B1316" s="464"/>
      <c r="C1316" s="464"/>
      <c r="D1316" s="464"/>
      <c r="K1316" s="365" t="str">
        <f t="shared" si="186"/>
        <v/>
      </c>
    </row>
    <row r="1317" spans="1:11" ht="31.5" hidden="1" x14ac:dyDescent="0.25">
      <c r="A1317" s="392" t="s">
        <v>111</v>
      </c>
      <c r="B1317" s="385" t="s">
        <v>36</v>
      </c>
      <c r="C1317" s="385" t="s">
        <v>221</v>
      </c>
      <c r="D1317" s="385" t="s">
        <v>168</v>
      </c>
      <c r="K1317" s="365" t="str">
        <f t="shared" si="186"/>
        <v/>
      </c>
    </row>
    <row r="1318" spans="1:11" hidden="1" x14ac:dyDescent="0.25">
      <c r="A1318" s="389">
        <v>10</v>
      </c>
      <c r="B1318" s="389" t="e">
        <f>VLOOKUP((VLOOKUP($F$48,таблица,8,0)),рем_содер,2,0)</f>
        <v>#N/A</v>
      </c>
      <c r="C1318" s="389"/>
      <c r="D1318" s="390"/>
      <c r="K1318" s="365" t="str">
        <f t="shared" si="186"/>
        <v/>
      </c>
    </row>
    <row r="1319" spans="1:11" hidden="1" x14ac:dyDescent="0.25">
      <c r="A1319" s="389" t="e">
        <f>IF(D1319=0,0,A1318+1)</f>
        <v>#N/A</v>
      </c>
      <c r="B1319" s="390" t="e">
        <f>CONCATENATE("2015 г. (",CHOOSE(VLOOKUP(F$48,таблица,63,0),"Январь","Февраль","Март","Апрель","Май","Июнь","Июль","Август","Сентябрь","Октябрь","Ноябрь","Декабрь")," - ",CHOOSE(VLOOKUP(F$48,таблица,64,0),"Январь","Февраль","Март","Апрель","Май","Июнь","Июль","Август","Сентябрь","Октябрь","Ноябрь","Декабрь"),")")</f>
        <v>#N/A</v>
      </c>
      <c r="C1319" s="389" t="s">
        <v>222</v>
      </c>
      <c r="D1319" s="417" t="e">
        <f>IF(D1321=0,0,VLOOKUP($F$48,таблица,69,0)*100+100)</f>
        <v>#N/A</v>
      </c>
      <c r="K1319" s="365" t="e">
        <f>IF(D1319=0,"",1)</f>
        <v>#N/A</v>
      </c>
    </row>
    <row r="1320" spans="1:11" hidden="1" x14ac:dyDescent="0.25">
      <c r="A1320" s="389" t="e">
        <f>IF(D1320=0,0,IF(D1319=0,A1318+1,A1319+1))</f>
        <v>#N/A</v>
      </c>
      <c r="B1320" s="390" t="e">
        <f>CONCATENATE("2016 г. (",CHOOSE(VLOOKUP(F$48,таблица,65,0),"Январь","Февраль","Март","Апрель","Май","Июнь","Июль","Август","Сентябрь","Октябрь","Ноябрь","Декабрь")," - ",CHOOSE(VLOOKUP(F$48,таблица,66,0),"Январь","Февраль","Март","Апрель","Май","Июнь","Июль","Август","Сентябрь","Октябрь","Ноябрь","Декабрь"),")")</f>
        <v>#N/A</v>
      </c>
      <c r="C1320" s="389" t="s">
        <v>222</v>
      </c>
      <c r="D1320" s="417" t="e">
        <f>IF(D1322=0,0,VLOOKUP($F$48,таблица,70,0)*100+100)</f>
        <v>#N/A</v>
      </c>
      <c r="K1320" s="365" t="e">
        <f t="shared" ref="K1320:K1322" si="187">IF(D1320=0,"",1)</f>
        <v>#N/A</v>
      </c>
    </row>
    <row r="1321" spans="1:11" hidden="1" x14ac:dyDescent="0.25">
      <c r="A1321" s="389" t="e">
        <f>IF(D1321=0,0,IF(D1320=0,A1319+1,A1320+1))</f>
        <v>#N/A</v>
      </c>
      <c r="B1321" s="390" t="s">
        <v>223</v>
      </c>
      <c r="C1321" s="389" t="s">
        <v>224</v>
      </c>
      <c r="D1321" s="394" t="e">
        <f>VLOOKUP($F$48,таблица,46,0)</f>
        <v>#N/A</v>
      </c>
      <c r="K1321" s="365" t="e">
        <f t="shared" si="187"/>
        <v>#N/A</v>
      </c>
    </row>
    <row r="1322" spans="1:11" hidden="1" x14ac:dyDescent="0.25">
      <c r="A1322" s="389" t="e">
        <f>IF(D1322=0,0,IF(D1321=0,A1320+1,A1321+1))</f>
        <v>#N/A</v>
      </c>
      <c r="B1322" s="390" t="s">
        <v>351</v>
      </c>
      <c r="C1322" s="389" t="s">
        <v>224</v>
      </c>
      <c r="D1322" s="394" t="e">
        <f>VLOOKUP($F$48,таблица,56,0)</f>
        <v>#N/A</v>
      </c>
      <c r="K1322" s="365" t="e">
        <f t="shared" si="187"/>
        <v>#N/A</v>
      </c>
    </row>
    <row r="1323" spans="1:11" hidden="1" x14ac:dyDescent="0.25">
      <c r="A1323" s="464" t="s">
        <v>225</v>
      </c>
      <c r="B1323" s="464"/>
      <c r="C1323" s="464"/>
      <c r="D1323" s="464"/>
      <c r="K1323" s="365" t="str">
        <f>IF($F$48=0,"",1)</f>
        <v/>
      </c>
    </row>
    <row r="1324" spans="1:11" ht="31.5" hidden="1" x14ac:dyDescent="0.25">
      <c r="A1324" s="389" t="e">
        <f>IF(D1324=0,0,IF(D1322=0,IF(D1321=0,A1318+1,A1321+1),A1322+1))</f>
        <v>#N/A</v>
      </c>
      <c r="B1324" s="395" t="s">
        <v>275</v>
      </c>
      <c r="C1324" s="389" t="s">
        <v>224</v>
      </c>
      <c r="D1324" s="394" t="e">
        <f>SUM(VLOOKUP($F$48,таблица,41,0),D1321)</f>
        <v>#N/A</v>
      </c>
      <c r="E1324" s="365"/>
      <c r="K1324" s="365" t="e">
        <f t="shared" ref="K1324:K1330" si="188">IF(D1324=0,"",1)</f>
        <v>#N/A</v>
      </c>
    </row>
    <row r="1325" spans="1:11" hidden="1" x14ac:dyDescent="0.25">
      <c r="A1325" s="389" t="e">
        <f>IF(D1325=0,0,A1324+1)</f>
        <v>#N/A</v>
      </c>
      <c r="B1325" s="395" t="s">
        <v>227</v>
      </c>
      <c r="C1325" s="389" t="s">
        <v>224</v>
      </c>
      <c r="D1325" s="394" t="e">
        <f>VLOOKUP($F$48,таблица,51,0)</f>
        <v>#N/A</v>
      </c>
      <c r="E1325" s="365"/>
      <c r="K1325" s="365" t="e">
        <f t="shared" si="188"/>
        <v>#N/A</v>
      </c>
    </row>
    <row r="1326" spans="1:11" hidden="1" x14ac:dyDescent="0.25">
      <c r="A1326" s="389" t="e">
        <f>IF(D1326=0,0,A1325+1)</f>
        <v>#N/A</v>
      </c>
      <c r="B1326" s="395" t="s">
        <v>274</v>
      </c>
      <c r="C1326" s="389" t="s">
        <v>224</v>
      </c>
      <c r="D1326" s="397" t="e">
        <f>SUM(D1324:D1325)</f>
        <v>#N/A</v>
      </c>
      <c r="E1326" s="391" t="e">
        <f>VLOOKUP($F$48,таблица,71,0)</f>
        <v>#N/A</v>
      </c>
      <c r="K1326" s="365" t="e">
        <f t="shared" si="188"/>
        <v>#N/A</v>
      </c>
    </row>
    <row r="1327" spans="1:11" ht="31.5" hidden="1" x14ac:dyDescent="0.25">
      <c r="A1327" s="389" t="e">
        <f>IF(D1327=0,0,IF(D1326=0,IF(D1322=0,A1318+1,A1322+1),A1326+1))</f>
        <v>#N/A</v>
      </c>
      <c r="B1327" s="395" t="s">
        <v>349</v>
      </c>
      <c r="C1327" s="389" t="s">
        <v>224</v>
      </c>
      <c r="D1327" s="394" t="e">
        <f>VLOOKUP($F$48,таблица,36,0)-VLOOKUP($F$48,таблица,41,0)+D1322</f>
        <v>#N/A</v>
      </c>
      <c r="K1327" s="365" t="e">
        <f t="shared" si="188"/>
        <v>#N/A</v>
      </c>
    </row>
    <row r="1328" spans="1:11" hidden="1" x14ac:dyDescent="0.25">
      <c r="A1328" s="389" t="e">
        <f>IF(D1328=0,0,A1327+1)</f>
        <v>#N/A</v>
      </c>
      <c r="B1328" s="395" t="s">
        <v>227</v>
      </c>
      <c r="C1328" s="389" t="s">
        <v>224</v>
      </c>
      <c r="D1328" s="394" t="e">
        <f>VLOOKUP($F$48,таблица,61,0)</f>
        <v>#N/A</v>
      </c>
      <c r="K1328" s="365" t="e">
        <f t="shared" si="188"/>
        <v>#N/A</v>
      </c>
    </row>
    <row r="1329" spans="1:11" hidden="1" x14ac:dyDescent="0.25">
      <c r="A1329" s="389" t="e">
        <f>IF(D1329=0,0,A1328+1)</f>
        <v>#N/A</v>
      </c>
      <c r="B1329" s="395" t="s">
        <v>350</v>
      </c>
      <c r="C1329" s="389" t="s">
        <v>224</v>
      </c>
      <c r="D1329" s="397" t="e">
        <f>SUM(D1327:D1328)</f>
        <v>#N/A</v>
      </c>
      <c r="E1329" s="391" t="e">
        <f>VLOOKUP($F$48,таблица,72,0)</f>
        <v>#N/A</v>
      </c>
      <c r="K1329" s="365" t="e">
        <f t="shared" si="188"/>
        <v>#N/A</v>
      </c>
    </row>
    <row r="1330" spans="1:11" hidden="1" x14ac:dyDescent="0.25">
      <c r="A1330" s="389" t="e">
        <f>IF(D1330=0,0,A1329+1)</f>
        <v>#N/A</v>
      </c>
      <c r="B1330" s="395" t="s">
        <v>226</v>
      </c>
      <c r="C1330" s="389" t="s">
        <v>224</v>
      </c>
      <c r="D1330" s="397" t="e">
        <f>IF(OR(D1326=0,D1329=0),0,D1329+D1326)</f>
        <v>#N/A</v>
      </c>
      <c r="E1330" s="391" t="e">
        <f>VLOOKUP($F$48,таблица,62,0)</f>
        <v>#N/A</v>
      </c>
      <c r="K1330" s="365" t="e">
        <f t="shared" si="188"/>
        <v>#N/A</v>
      </c>
    </row>
    <row r="1331" spans="1:11" hidden="1" x14ac:dyDescent="0.25">
      <c r="A1331" s="400"/>
      <c r="B1331" s="400"/>
      <c r="C1331" s="400"/>
      <c r="D1331" s="401"/>
      <c r="K1331" s="365" t="str">
        <f>IF($F$48=0,"",1)</f>
        <v/>
      </c>
    </row>
    <row r="1332" spans="1:11" ht="47.25" hidden="1" customHeight="1" x14ac:dyDescent="0.25">
      <c r="A1332" s="465" t="str">
        <f>'Анализ стоимости'!$I$58</f>
        <v>Начальник финансового отдела</v>
      </c>
      <c r="B1332" s="466"/>
      <c r="C1332" s="402"/>
      <c r="D1332" s="403" t="str">
        <f>'Анализ стоимости'!$I$59</f>
        <v>А.Ю.Кашуба</v>
      </c>
      <c r="H1332" s="405" t="str">
        <f>A1332</f>
        <v>Начальник финансового отдела</v>
      </c>
      <c r="K1332" s="365" t="str">
        <f>IF($F$48=0,"",1)</f>
        <v/>
      </c>
    </row>
    <row r="1333" spans="1:11" hidden="1" x14ac:dyDescent="0.25">
      <c r="A1333" s="407"/>
      <c r="B1333" s="407"/>
      <c r="C1333" s="407"/>
      <c r="D1333" s="408"/>
      <c r="K1333" s="365" t="str">
        <f>IF($F$48=0,"",1)</f>
        <v/>
      </c>
    </row>
    <row r="1334" spans="1:11" hidden="1" x14ac:dyDescent="0.25">
      <c r="A1334" s="462">
        <f ca="1">TODAY()</f>
        <v>42101</v>
      </c>
      <c r="B1334" s="462"/>
      <c r="C1334" s="371"/>
      <c r="D1334" s="371"/>
      <c r="K1334" s="365" t="str">
        <f>IF($F$48=0,"",1)</f>
        <v/>
      </c>
    </row>
    <row r="1335" spans="1:11" hidden="1" x14ac:dyDescent="0.25">
      <c r="A1335" s="463" t="s">
        <v>317</v>
      </c>
      <c r="B1335" s="463"/>
      <c r="C1335" s="463"/>
      <c r="D1335" s="463"/>
      <c r="H1335" s="369"/>
      <c r="I1335" s="369"/>
      <c r="K1335" s="365" t="str">
        <f>IF($F$49=0,"",1)</f>
        <v/>
      </c>
    </row>
    <row r="1336" spans="1:11" ht="47.25" hidden="1" customHeight="1" x14ac:dyDescent="0.2">
      <c r="A1336" s="458" t="e">
        <f>CONCATENATE("Наименование объекта: ",VLOOKUP($F$49,таблица,9,0))</f>
        <v>#N/A</v>
      </c>
      <c r="B1336" s="458"/>
      <c r="C1336" s="458"/>
      <c r="D1336" s="458"/>
      <c r="J1336" s="414" t="e">
        <f>A1336</f>
        <v>#N/A</v>
      </c>
      <c r="K1336" s="365" t="str">
        <f t="shared" ref="K1336:K1352" si="189">IF($F$49=0,"",1)</f>
        <v/>
      </c>
    </row>
    <row r="1337" spans="1:11" hidden="1" x14ac:dyDescent="0.25">
      <c r="A1337" s="383"/>
      <c r="B1337" s="372"/>
      <c r="C1337" s="372"/>
      <c r="D1337" s="372"/>
      <c r="K1337" s="365" t="str">
        <f t="shared" si="189"/>
        <v/>
      </c>
    </row>
    <row r="1338" spans="1:11" hidden="1" x14ac:dyDescent="0.25">
      <c r="A1338" s="415" t="s">
        <v>218</v>
      </c>
      <c r="B1338" s="378"/>
      <c r="C1338" s="378"/>
      <c r="D1338" s="378"/>
      <c r="K1338" s="365" t="str">
        <f t="shared" si="189"/>
        <v/>
      </c>
    </row>
    <row r="1339" spans="1:11" hidden="1" x14ac:dyDescent="0.25">
      <c r="A1339" s="459" t="s">
        <v>219</v>
      </c>
      <c r="B1339" s="459"/>
      <c r="C1339" s="459"/>
      <c r="D1339" s="459"/>
      <c r="K1339" s="365" t="str">
        <f t="shared" si="189"/>
        <v/>
      </c>
    </row>
    <row r="1340" spans="1:11" ht="31.5" hidden="1" x14ac:dyDescent="0.25">
      <c r="A1340" s="385" t="s">
        <v>111</v>
      </c>
      <c r="B1340" s="385" t="s">
        <v>167</v>
      </c>
      <c r="C1340" s="460" t="e">
        <f>CONCATENATE("Стоимость  согласно сметной документации (руб.) в текущих ценах по состоянию на ",VLOOKUP($F$49,таблица,5,0)," г.")</f>
        <v>#N/A</v>
      </c>
      <c r="D1340" s="461"/>
      <c r="I1340" s="386" t="e">
        <f>C1340</f>
        <v>#N/A</v>
      </c>
      <c r="K1340" s="365" t="str">
        <f t="shared" si="189"/>
        <v/>
      </c>
    </row>
    <row r="1341" spans="1:11" hidden="1" x14ac:dyDescent="0.25">
      <c r="A1341" s="389">
        <v>1</v>
      </c>
      <c r="B1341" s="390" t="s">
        <v>68</v>
      </c>
      <c r="C1341" s="455" t="e">
        <f>VLOOKUP($F$49,таблица,10,0)</f>
        <v>#N/A</v>
      </c>
      <c r="D1341" s="456"/>
      <c r="K1341" s="365" t="str">
        <f t="shared" si="189"/>
        <v/>
      </c>
    </row>
    <row r="1342" spans="1:11" hidden="1" x14ac:dyDescent="0.25">
      <c r="A1342" s="389">
        <v>2</v>
      </c>
      <c r="B1342" s="390" t="s">
        <v>58</v>
      </c>
      <c r="C1342" s="455" t="e">
        <f>VLOOKUP($F$49,таблица,11,0)</f>
        <v>#N/A</v>
      </c>
      <c r="D1342" s="456"/>
      <c r="K1342" s="365" t="str">
        <f t="shared" si="189"/>
        <v/>
      </c>
    </row>
    <row r="1343" spans="1:11" ht="31.5" hidden="1" x14ac:dyDescent="0.25">
      <c r="A1343" s="389">
        <v>3</v>
      </c>
      <c r="B1343" s="390" t="s">
        <v>8</v>
      </c>
      <c r="C1343" s="455" t="e">
        <f>VLOOKUP($F$49,таблица,12,0)</f>
        <v>#N/A</v>
      </c>
      <c r="D1343" s="456"/>
      <c r="K1343" s="365" t="str">
        <f t="shared" si="189"/>
        <v/>
      </c>
    </row>
    <row r="1344" spans="1:11" hidden="1" x14ac:dyDescent="0.25">
      <c r="A1344" s="389">
        <v>4</v>
      </c>
      <c r="B1344" s="390" t="s">
        <v>59</v>
      </c>
      <c r="C1344" s="455" t="e">
        <f>VLOOKUP($F$49,таблица,13,0)</f>
        <v>#N/A</v>
      </c>
      <c r="D1344" s="456"/>
      <c r="K1344" s="365" t="str">
        <f t="shared" si="189"/>
        <v/>
      </c>
    </row>
    <row r="1345" spans="1:11" hidden="1" x14ac:dyDescent="0.25">
      <c r="A1345" s="389">
        <v>5</v>
      </c>
      <c r="B1345" s="390" t="s">
        <v>14</v>
      </c>
      <c r="C1345" s="455" t="e">
        <f>VLOOKUP($F$49,таблица,14,0)</f>
        <v>#N/A</v>
      </c>
      <c r="D1345" s="456"/>
      <c r="K1345" s="365" t="str">
        <f t="shared" si="189"/>
        <v/>
      </c>
    </row>
    <row r="1346" spans="1:11" hidden="1" x14ac:dyDescent="0.25">
      <c r="A1346" s="389">
        <v>6</v>
      </c>
      <c r="B1346" s="390" t="s">
        <v>23</v>
      </c>
      <c r="C1346" s="455" t="e">
        <f>VLOOKUP($F$49,таблица,18,0)</f>
        <v>#N/A</v>
      </c>
      <c r="D1346" s="456"/>
      <c r="K1346" s="365" t="str">
        <f t="shared" si="189"/>
        <v/>
      </c>
    </row>
    <row r="1347" spans="1:11" hidden="1" x14ac:dyDescent="0.25">
      <c r="A1347" s="389">
        <v>7</v>
      </c>
      <c r="B1347" s="390" t="s">
        <v>156</v>
      </c>
      <c r="C1347" s="455" t="e">
        <f>VLOOKUP($F$49,таблица,19,0)+VLOOKUP($F$49,таблица,21,0)+VLOOKUP($F$49,таблица,22,0)+VLOOKUP($F$49,таблица,23,0)+VLOOKUP($F$49,таблица,24,0)+VLOOKUP($F$49,таблица,25,0)+VLOOKUP($F$49,таблица,26,0)</f>
        <v>#N/A</v>
      </c>
      <c r="D1347" s="456"/>
      <c r="K1347" s="365" t="str">
        <f t="shared" si="189"/>
        <v/>
      </c>
    </row>
    <row r="1348" spans="1:11" hidden="1" x14ac:dyDescent="0.25">
      <c r="A1348" s="389">
        <v>8</v>
      </c>
      <c r="B1348" s="390" t="s">
        <v>101</v>
      </c>
      <c r="C1348" s="455" t="e">
        <f>VLOOKUP($F$49,таблица,31,0)</f>
        <v>#N/A</v>
      </c>
      <c r="D1348" s="456"/>
      <c r="K1348" s="365" t="str">
        <f t="shared" si="189"/>
        <v/>
      </c>
    </row>
    <row r="1349" spans="1:11" hidden="1" x14ac:dyDescent="0.25">
      <c r="A1349" s="389">
        <v>9</v>
      </c>
      <c r="B1349" s="390" t="s">
        <v>241</v>
      </c>
      <c r="C1349" s="455" t="e">
        <f>SUM(C1341:D1348)</f>
        <v>#N/A</v>
      </c>
      <c r="D1349" s="456"/>
      <c r="K1349" s="365" t="str">
        <f t="shared" si="189"/>
        <v/>
      </c>
    </row>
    <row r="1350" spans="1:11" hidden="1" x14ac:dyDescent="0.25">
      <c r="A1350" s="464" t="s">
        <v>231</v>
      </c>
      <c r="B1350" s="464"/>
      <c r="C1350" s="464"/>
      <c r="D1350" s="464"/>
      <c r="K1350" s="365" t="str">
        <f t="shared" si="189"/>
        <v/>
      </c>
    </row>
    <row r="1351" spans="1:11" ht="31.5" hidden="1" x14ac:dyDescent="0.25">
      <c r="A1351" s="392" t="s">
        <v>111</v>
      </c>
      <c r="B1351" s="385" t="s">
        <v>36</v>
      </c>
      <c r="C1351" s="385" t="s">
        <v>221</v>
      </c>
      <c r="D1351" s="385" t="s">
        <v>168</v>
      </c>
      <c r="K1351" s="365" t="str">
        <f t="shared" si="189"/>
        <v/>
      </c>
    </row>
    <row r="1352" spans="1:11" hidden="1" x14ac:dyDescent="0.25">
      <c r="A1352" s="389">
        <v>10</v>
      </c>
      <c r="B1352" s="389" t="e">
        <f>VLOOKUP((VLOOKUP($F$49,таблица,8,0)),рем_содер,2,0)</f>
        <v>#N/A</v>
      </c>
      <c r="C1352" s="389"/>
      <c r="D1352" s="390"/>
      <c r="K1352" s="365" t="str">
        <f t="shared" si="189"/>
        <v/>
      </c>
    </row>
    <row r="1353" spans="1:11" hidden="1" x14ac:dyDescent="0.25">
      <c r="A1353" s="389" t="e">
        <f>IF(D1353=0,0,A1352+1)</f>
        <v>#N/A</v>
      </c>
      <c r="B1353" s="390" t="e">
        <f>CONCATENATE("2015 г. (",CHOOSE(VLOOKUP($F$49,таблица,63,0),"Январь","Февраль","Март","Апрель","Май","Июнь","Июль","Август","Сентябрь","Октябрь","Ноябрь","Декабрь")," - ",CHOOSE(VLOOKUP($F$49,таблица,64,0),"Январь","Февраль","Март","Апрель","Май","Июнь","Июль","Август","Сентябрь","Октябрь","Ноябрь","Декабрь"),")")</f>
        <v>#N/A</v>
      </c>
      <c r="C1353" s="389" t="s">
        <v>222</v>
      </c>
      <c r="D1353" s="417" t="e">
        <f>IF(D1355=0,0,VLOOKUP($F$49,таблица,69,0)*100+100)</f>
        <v>#N/A</v>
      </c>
      <c r="K1353" s="365" t="e">
        <f>IF(D1353=0,"",1)</f>
        <v>#N/A</v>
      </c>
    </row>
    <row r="1354" spans="1:11" hidden="1" x14ac:dyDescent="0.25">
      <c r="A1354" s="389" t="e">
        <f>IF(D1354=0,0,IF(D1353=0,A1352+1,A1353+1))</f>
        <v>#N/A</v>
      </c>
      <c r="B1354" s="390" t="e">
        <f>CONCATENATE("2016 г. (",CHOOSE(VLOOKUP($F$49,таблица,65,0),"Январь","Февраль","Март","Апрель","Май","Июнь","Июль","Август","Сентябрь","Октябрь","Ноябрь","Декабрь")," - ",CHOOSE(VLOOKUP($F$49,таблица,66,0),"Январь","Февраль","Март","Апрель","Май","Июнь","Июль","Август","Сентябрь","Октябрь","Ноябрь","Декабрь"),")")</f>
        <v>#N/A</v>
      </c>
      <c r="C1354" s="389" t="s">
        <v>222</v>
      </c>
      <c r="D1354" s="417" t="e">
        <f>IF(D1356=0,0,VLOOKUP($F$49,таблица,70,0)*100+100)</f>
        <v>#N/A</v>
      </c>
      <c r="K1354" s="365" t="e">
        <f t="shared" ref="K1354:K1356" si="190">IF(D1354=0,"",1)</f>
        <v>#N/A</v>
      </c>
    </row>
    <row r="1355" spans="1:11" hidden="1" x14ac:dyDescent="0.25">
      <c r="A1355" s="389" t="e">
        <f>IF(D1355=0,0,IF(D1354=0,A1353+1,A1354+1))</f>
        <v>#N/A</v>
      </c>
      <c r="B1355" s="390" t="s">
        <v>223</v>
      </c>
      <c r="C1355" s="389" t="s">
        <v>224</v>
      </c>
      <c r="D1355" s="394" t="e">
        <f>VLOOKUP($F$49,таблица,46,0)</f>
        <v>#N/A</v>
      </c>
      <c r="K1355" s="365" t="e">
        <f t="shared" si="190"/>
        <v>#N/A</v>
      </c>
    </row>
    <row r="1356" spans="1:11" hidden="1" x14ac:dyDescent="0.25">
      <c r="A1356" s="389" t="e">
        <f>IF(D1356=0,0,IF(D1355=0,A1354+1,A1355+1))</f>
        <v>#N/A</v>
      </c>
      <c r="B1356" s="390" t="s">
        <v>351</v>
      </c>
      <c r="C1356" s="389" t="s">
        <v>224</v>
      </c>
      <c r="D1356" s="394" t="e">
        <f>VLOOKUP($F$49,таблица,56,0)</f>
        <v>#N/A</v>
      </c>
      <c r="K1356" s="365" t="e">
        <f t="shared" si="190"/>
        <v>#N/A</v>
      </c>
    </row>
    <row r="1357" spans="1:11" hidden="1" x14ac:dyDescent="0.25">
      <c r="A1357" s="464" t="s">
        <v>225</v>
      </c>
      <c r="B1357" s="464"/>
      <c r="C1357" s="464"/>
      <c r="D1357" s="464"/>
      <c r="K1357" s="365" t="str">
        <f>IF($F$49=0,"",1)</f>
        <v/>
      </c>
    </row>
    <row r="1358" spans="1:11" ht="31.5" hidden="1" x14ac:dyDescent="0.25">
      <c r="A1358" s="389" t="e">
        <f>IF(D1358=0,0,IF(D1356=0,IF(D1355=0,A1352+1,A1355+1),A1356+1))</f>
        <v>#N/A</v>
      </c>
      <c r="B1358" s="395" t="s">
        <v>275</v>
      </c>
      <c r="C1358" s="389" t="s">
        <v>224</v>
      </c>
      <c r="D1358" s="394" t="e">
        <f>SUM(VLOOKUP($F$49,таблица,41,0),D1355)</f>
        <v>#N/A</v>
      </c>
      <c r="E1358" s="365"/>
      <c r="K1358" s="365" t="e">
        <f t="shared" ref="K1358:K1364" si="191">IF(D1358=0,"",1)</f>
        <v>#N/A</v>
      </c>
    </row>
    <row r="1359" spans="1:11" hidden="1" x14ac:dyDescent="0.25">
      <c r="A1359" s="389" t="e">
        <f>IF(D1359=0,0,A1358+1)</f>
        <v>#N/A</v>
      </c>
      <c r="B1359" s="395" t="s">
        <v>227</v>
      </c>
      <c r="C1359" s="389" t="s">
        <v>224</v>
      </c>
      <c r="D1359" s="394" t="e">
        <f>VLOOKUP($F$49,таблица,51,0)</f>
        <v>#N/A</v>
      </c>
      <c r="E1359" s="365"/>
      <c r="K1359" s="365" t="e">
        <f t="shared" si="191"/>
        <v>#N/A</v>
      </c>
    </row>
    <row r="1360" spans="1:11" hidden="1" x14ac:dyDescent="0.25">
      <c r="A1360" s="389" t="e">
        <f>IF(D1360=0,0,A1359+1)</f>
        <v>#N/A</v>
      </c>
      <c r="B1360" s="395" t="s">
        <v>274</v>
      </c>
      <c r="C1360" s="389" t="s">
        <v>224</v>
      </c>
      <c r="D1360" s="397" t="e">
        <f>SUM(D1358:D1359)</f>
        <v>#N/A</v>
      </c>
      <c r="E1360" s="391" t="e">
        <f>VLOOKUP($F$49,таблица,71,0)</f>
        <v>#N/A</v>
      </c>
      <c r="K1360" s="365" t="e">
        <f t="shared" si="191"/>
        <v>#N/A</v>
      </c>
    </row>
    <row r="1361" spans="1:11" ht="31.5" hidden="1" x14ac:dyDescent="0.25">
      <c r="A1361" s="389" t="e">
        <f>IF(D1361=0,0,IF(D1360=0,IF(D1356=0,A1352+1,A1356+1),A1360+1))</f>
        <v>#N/A</v>
      </c>
      <c r="B1361" s="395" t="s">
        <v>349</v>
      </c>
      <c r="C1361" s="389" t="s">
        <v>224</v>
      </c>
      <c r="D1361" s="394" t="e">
        <f>VLOOKUP($F$49,таблица,36,0)-VLOOKUP($F$49,таблица,41,0)+D1356</f>
        <v>#N/A</v>
      </c>
      <c r="K1361" s="365" t="e">
        <f t="shared" si="191"/>
        <v>#N/A</v>
      </c>
    </row>
    <row r="1362" spans="1:11" hidden="1" x14ac:dyDescent="0.25">
      <c r="A1362" s="389" t="e">
        <f>IF(D1362=0,0,A1361+1)</f>
        <v>#N/A</v>
      </c>
      <c r="B1362" s="395" t="s">
        <v>227</v>
      </c>
      <c r="C1362" s="389" t="s">
        <v>224</v>
      </c>
      <c r="D1362" s="394" t="e">
        <f>VLOOKUP($F$49,таблица,61,0)</f>
        <v>#N/A</v>
      </c>
      <c r="K1362" s="365" t="e">
        <f t="shared" si="191"/>
        <v>#N/A</v>
      </c>
    </row>
    <row r="1363" spans="1:11" hidden="1" x14ac:dyDescent="0.25">
      <c r="A1363" s="389" t="e">
        <f>IF(D1363=0,0,A1362+1)</f>
        <v>#N/A</v>
      </c>
      <c r="B1363" s="395" t="s">
        <v>350</v>
      </c>
      <c r="C1363" s="389" t="s">
        <v>224</v>
      </c>
      <c r="D1363" s="397" t="e">
        <f>SUM(D1361:D1362)</f>
        <v>#N/A</v>
      </c>
      <c r="E1363" s="391" t="e">
        <f>VLOOKUP($F$49,таблица,72,0)</f>
        <v>#N/A</v>
      </c>
      <c r="K1363" s="365" t="e">
        <f t="shared" si="191"/>
        <v>#N/A</v>
      </c>
    </row>
    <row r="1364" spans="1:11" hidden="1" x14ac:dyDescent="0.25">
      <c r="A1364" s="389" t="e">
        <f>IF(D1364=0,0,A1363+1)</f>
        <v>#N/A</v>
      </c>
      <c r="B1364" s="395" t="s">
        <v>226</v>
      </c>
      <c r="C1364" s="389" t="s">
        <v>224</v>
      </c>
      <c r="D1364" s="397" t="e">
        <f>IF(OR(D1360=0,D1363=0),0,D1363+D1360)</f>
        <v>#N/A</v>
      </c>
      <c r="E1364" s="391" t="e">
        <f>VLOOKUP($F$49,таблица,62,0)</f>
        <v>#N/A</v>
      </c>
      <c r="K1364" s="365" t="e">
        <f t="shared" si="191"/>
        <v>#N/A</v>
      </c>
    </row>
    <row r="1365" spans="1:11" hidden="1" x14ac:dyDescent="0.25">
      <c r="A1365" s="400"/>
      <c r="B1365" s="400"/>
      <c r="C1365" s="400"/>
      <c r="D1365" s="401"/>
      <c r="K1365" s="365" t="str">
        <f>IF($F$49=0,"",1)</f>
        <v/>
      </c>
    </row>
    <row r="1366" spans="1:11" ht="47.25" hidden="1" customHeight="1" x14ac:dyDescent="0.25">
      <c r="A1366" s="465" t="str">
        <f>'Анализ стоимости'!$I$58</f>
        <v>Начальник финансового отдела</v>
      </c>
      <c r="B1366" s="466"/>
      <c r="C1366" s="402"/>
      <c r="D1366" s="403" t="str">
        <f>'Анализ стоимости'!$I$59</f>
        <v>А.Ю.Кашуба</v>
      </c>
      <c r="H1366" s="405" t="str">
        <f>A1366</f>
        <v>Начальник финансового отдела</v>
      </c>
      <c r="K1366" s="365" t="str">
        <f>IF($F$49=0,"",1)</f>
        <v/>
      </c>
    </row>
    <row r="1367" spans="1:11" hidden="1" x14ac:dyDescent="0.25">
      <c r="A1367" s="407"/>
      <c r="B1367" s="407"/>
      <c r="C1367" s="407"/>
      <c r="D1367" s="408"/>
      <c r="K1367" s="365" t="str">
        <f>IF($F$49=0,"",1)</f>
        <v/>
      </c>
    </row>
    <row r="1368" spans="1:11" hidden="1" x14ac:dyDescent="0.25">
      <c r="A1368" s="462">
        <f ca="1">TODAY()</f>
        <v>42101</v>
      </c>
      <c r="B1368" s="462"/>
      <c r="C1368" s="371"/>
      <c r="D1368" s="371"/>
      <c r="K1368" s="365" t="str">
        <f>IF($F$49=0,"",1)</f>
        <v/>
      </c>
    </row>
    <row r="1369" spans="1:11" hidden="1" x14ac:dyDescent="0.25">
      <c r="A1369" s="463" t="s">
        <v>318</v>
      </c>
      <c r="B1369" s="463"/>
      <c r="C1369" s="463"/>
      <c r="D1369" s="463"/>
      <c r="H1369" s="369"/>
      <c r="I1369" s="369"/>
      <c r="K1369" s="365" t="str">
        <f t="shared" ref="K1369:K1386" si="192">IF($F$50=0,"",1)</f>
        <v/>
      </c>
    </row>
    <row r="1370" spans="1:11" ht="47.25" hidden="1" customHeight="1" x14ac:dyDescent="0.2">
      <c r="A1370" s="458" t="e">
        <f>CONCATENATE("Наименование объекта: ",VLOOKUP($F$50,таблица,9,0))</f>
        <v>#N/A</v>
      </c>
      <c r="B1370" s="458"/>
      <c r="C1370" s="458"/>
      <c r="D1370" s="458"/>
      <c r="J1370" s="414" t="e">
        <f>A1370</f>
        <v>#N/A</v>
      </c>
      <c r="K1370" s="365" t="str">
        <f t="shared" si="192"/>
        <v/>
      </c>
    </row>
    <row r="1371" spans="1:11" hidden="1" x14ac:dyDescent="0.25">
      <c r="A1371" s="383"/>
      <c r="B1371" s="372"/>
      <c r="C1371" s="372"/>
      <c r="D1371" s="372"/>
      <c r="K1371" s="365" t="str">
        <f t="shared" si="192"/>
        <v/>
      </c>
    </row>
    <row r="1372" spans="1:11" hidden="1" x14ac:dyDescent="0.25">
      <c r="A1372" s="415" t="s">
        <v>218</v>
      </c>
      <c r="B1372" s="378"/>
      <c r="C1372" s="378"/>
      <c r="D1372" s="378"/>
      <c r="K1372" s="365" t="str">
        <f t="shared" si="192"/>
        <v/>
      </c>
    </row>
    <row r="1373" spans="1:11" hidden="1" x14ac:dyDescent="0.25">
      <c r="A1373" s="459" t="s">
        <v>219</v>
      </c>
      <c r="B1373" s="459"/>
      <c r="C1373" s="459"/>
      <c r="D1373" s="459"/>
      <c r="K1373" s="365" t="str">
        <f t="shared" si="192"/>
        <v/>
      </c>
    </row>
    <row r="1374" spans="1:11" ht="31.5" hidden="1" x14ac:dyDescent="0.25">
      <c r="A1374" s="385" t="s">
        <v>111</v>
      </c>
      <c r="B1374" s="385" t="s">
        <v>167</v>
      </c>
      <c r="C1374" s="460" t="e">
        <f>CONCATENATE("Стоимость  согласно сметной документации (руб.) в текущих ценах по состоянию на ",VLOOKUP($F$50,таблица,5,0)," г.")</f>
        <v>#N/A</v>
      </c>
      <c r="D1374" s="461"/>
      <c r="I1374" s="386" t="e">
        <f>C1374</f>
        <v>#N/A</v>
      </c>
      <c r="K1374" s="365" t="str">
        <f t="shared" si="192"/>
        <v/>
      </c>
    </row>
    <row r="1375" spans="1:11" hidden="1" x14ac:dyDescent="0.25">
      <c r="A1375" s="389">
        <v>1</v>
      </c>
      <c r="B1375" s="390" t="s">
        <v>68</v>
      </c>
      <c r="C1375" s="455" t="e">
        <f>VLOOKUP($F$50,таблица,10,0)</f>
        <v>#N/A</v>
      </c>
      <c r="D1375" s="456"/>
      <c r="K1375" s="365" t="str">
        <f t="shared" si="192"/>
        <v/>
      </c>
    </row>
    <row r="1376" spans="1:11" hidden="1" x14ac:dyDescent="0.25">
      <c r="A1376" s="389">
        <v>2</v>
      </c>
      <c r="B1376" s="390" t="s">
        <v>58</v>
      </c>
      <c r="C1376" s="455" t="e">
        <f>VLOOKUP($F$50,таблица,11,0)</f>
        <v>#N/A</v>
      </c>
      <c r="D1376" s="456"/>
      <c r="K1376" s="365" t="str">
        <f t="shared" si="192"/>
        <v/>
      </c>
    </row>
    <row r="1377" spans="1:11" ht="31.5" hidden="1" x14ac:dyDescent="0.25">
      <c r="A1377" s="389">
        <v>3</v>
      </c>
      <c r="B1377" s="390" t="s">
        <v>8</v>
      </c>
      <c r="C1377" s="455" t="e">
        <f>VLOOKUP($F$50,таблица,12,0)</f>
        <v>#N/A</v>
      </c>
      <c r="D1377" s="456"/>
      <c r="K1377" s="365" t="str">
        <f t="shared" si="192"/>
        <v/>
      </c>
    </row>
    <row r="1378" spans="1:11" hidden="1" x14ac:dyDescent="0.25">
      <c r="A1378" s="389">
        <v>4</v>
      </c>
      <c r="B1378" s="390" t="s">
        <v>59</v>
      </c>
      <c r="C1378" s="455" t="e">
        <f>VLOOKUP($F$50,таблица,13,0)</f>
        <v>#N/A</v>
      </c>
      <c r="D1378" s="456"/>
      <c r="K1378" s="365" t="str">
        <f t="shared" si="192"/>
        <v/>
      </c>
    </row>
    <row r="1379" spans="1:11" hidden="1" x14ac:dyDescent="0.25">
      <c r="A1379" s="389">
        <v>5</v>
      </c>
      <c r="B1379" s="390" t="s">
        <v>14</v>
      </c>
      <c r="C1379" s="455" t="e">
        <f>VLOOKUP($F$50,таблица,14,0)</f>
        <v>#N/A</v>
      </c>
      <c r="D1379" s="456"/>
      <c r="K1379" s="365" t="str">
        <f t="shared" si="192"/>
        <v/>
      </c>
    </row>
    <row r="1380" spans="1:11" hidden="1" x14ac:dyDescent="0.25">
      <c r="A1380" s="389">
        <v>6</v>
      </c>
      <c r="B1380" s="390" t="s">
        <v>23</v>
      </c>
      <c r="C1380" s="455" t="e">
        <f>VLOOKUP($F$50,таблица,18,0)</f>
        <v>#N/A</v>
      </c>
      <c r="D1380" s="456"/>
      <c r="K1380" s="365" t="str">
        <f t="shared" si="192"/>
        <v/>
      </c>
    </row>
    <row r="1381" spans="1:11" hidden="1" x14ac:dyDescent="0.25">
      <c r="A1381" s="389">
        <v>7</v>
      </c>
      <c r="B1381" s="390" t="s">
        <v>156</v>
      </c>
      <c r="C1381" s="455" t="e">
        <f>VLOOKUP($F$50,таблица,19,0)+VLOOKUP($F$50,таблица,21,0)+VLOOKUP($F$50,таблица,22,0)+VLOOKUP($F$50,таблица,23,0)+VLOOKUP($F$50,таблица,24,0)+VLOOKUP($F$50,таблица,25,0)+VLOOKUP($F$50,таблица,26,0)</f>
        <v>#N/A</v>
      </c>
      <c r="D1381" s="456"/>
      <c r="K1381" s="365" t="str">
        <f t="shared" si="192"/>
        <v/>
      </c>
    </row>
    <row r="1382" spans="1:11" hidden="1" x14ac:dyDescent="0.25">
      <c r="A1382" s="389">
        <v>8</v>
      </c>
      <c r="B1382" s="390" t="s">
        <v>101</v>
      </c>
      <c r="C1382" s="455" t="e">
        <f>VLOOKUP($F$50,таблица,31,0)</f>
        <v>#N/A</v>
      </c>
      <c r="D1382" s="456"/>
      <c r="K1382" s="365" t="str">
        <f t="shared" si="192"/>
        <v/>
      </c>
    </row>
    <row r="1383" spans="1:11" hidden="1" x14ac:dyDescent="0.25">
      <c r="A1383" s="389">
        <v>9</v>
      </c>
      <c r="B1383" s="390" t="s">
        <v>241</v>
      </c>
      <c r="C1383" s="455" t="e">
        <f>SUM(C1375:D1382)</f>
        <v>#N/A</v>
      </c>
      <c r="D1383" s="456"/>
      <c r="K1383" s="365" t="str">
        <f t="shared" si="192"/>
        <v/>
      </c>
    </row>
    <row r="1384" spans="1:11" hidden="1" x14ac:dyDescent="0.25">
      <c r="A1384" s="464" t="s">
        <v>231</v>
      </c>
      <c r="B1384" s="464"/>
      <c r="C1384" s="464"/>
      <c r="D1384" s="464"/>
      <c r="K1384" s="365" t="str">
        <f t="shared" si="192"/>
        <v/>
      </c>
    </row>
    <row r="1385" spans="1:11" ht="31.5" hidden="1" x14ac:dyDescent="0.25">
      <c r="A1385" s="392" t="s">
        <v>111</v>
      </c>
      <c r="B1385" s="385" t="s">
        <v>36</v>
      </c>
      <c r="C1385" s="385" t="s">
        <v>221</v>
      </c>
      <c r="D1385" s="385" t="s">
        <v>168</v>
      </c>
      <c r="K1385" s="365" t="str">
        <f t="shared" si="192"/>
        <v/>
      </c>
    </row>
    <row r="1386" spans="1:11" hidden="1" x14ac:dyDescent="0.25">
      <c r="A1386" s="389">
        <v>10</v>
      </c>
      <c r="B1386" s="389" t="e">
        <f>VLOOKUP((VLOOKUP($F$50,таблица,8,0)),рем_содер,2,0)</f>
        <v>#N/A</v>
      </c>
      <c r="C1386" s="389"/>
      <c r="D1386" s="390"/>
      <c r="K1386" s="365" t="str">
        <f t="shared" si="192"/>
        <v/>
      </c>
    </row>
    <row r="1387" spans="1:11" hidden="1" x14ac:dyDescent="0.25">
      <c r="A1387" s="389" t="e">
        <f>IF(D1387=0,0,A1386+1)</f>
        <v>#N/A</v>
      </c>
      <c r="B1387" s="390" t="e">
        <f>CONCATENATE("2015 г. (",CHOOSE(VLOOKUP($F$50,таблица,63,0),"Январь","Февраль","Март","Апрель","Май","Июнь","Июль","Август","Сентябрь","Октябрь","Ноябрь","Декабрь")," - ",CHOOSE(VLOOKUP($F$50,таблица,64,0),"Январь","Февраль","Март","Апрель","Май","Июнь","Июль","Август","Сентябрь","Октябрь","Ноябрь","Декабрь"),")")</f>
        <v>#N/A</v>
      </c>
      <c r="C1387" s="389" t="s">
        <v>222</v>
      </c>
      <c r="D1387" s="417" t="e">
        <f>IF(D1389=0,0,VLOOKUP($F$50,таблица,69,0)*100+100)</f>
        <v>#N/A</v>
      </c>
      <c r="K1387" s="365" t="e">
        <f>IF(D1387=0,"",1)</f>
        <v>#N/A</v>
      </c>
    </row>
    <row r="1388" spans="1:11" hidden="1" x14ac:dyDescent="0.25">
      <c r="A1388" s="389" t="e">
        <f>IF(D1388=0,0,IF(D1387=0,A1386+1,A1387+1))</f>
        <v>#N/A</v>
      </c>
      <c r="B1388" s="390" t="e">
        <f>CONCATENATE("2016 г. (",CHOOSE(VLOOKUP($F$50,таблица,65,0),"Январь","Февраль","Март","Апрель","Май","Июнь","Июль","Август","Сентябрь","Октябрь","Ноябрь","Декабрь")," - ",CHOOSE(VLOOKUP($F$50,таблица,66,0),"Январь","Февраль","Март","Апрель","Май","Июнь","Июль","Август","Сентябрь","Октябрь","Ноябрь","Декабрь"),")")</f>
        <v>#N/A</v>
      </c>
      <c r="C1388" s="389" t="s">
        <v>222</v>
      </c>
      <c r="D1388" s="417" t="e">
        <f>IF(D1390=0,0,VLOOKUP($F$50,таблица,70,0)*100+100)</f>
        <v>#N/A</v>
      </c>
      <c r="K1388" s="365" t="e">
        <f t="shared" ref="K1388:K1390" si="193">IF(D1388=0,"",1)</f>
        <v>#N/A</v>
      </c>
    </row>
    <row r="1389" spans="1:11" hidden="1" x14ac:dyDescent="0.25">
      <c r="A1389" s="389" t="e">
        <f>IF(D1389=0,0,IF(D1388=0,A1387+1,A1388+1))</f>
        <v>#N/A</v>
      </c>
      <c r="B1389" s="390" t="s">
        <v>223</v>
      </c>
      <c r="C1389" s="389" t="s">
        <v>224</v>
      </c>
      <c r="D1389" s="394" t="e">
        <f>VLOOKUP($F$50,таблица,46,0)</f>
        <v>#N/A</v>
      </c>
      <c r="K1389" s="365" t="e">
        <f t="shared" si="193"/>
        <v>#N/A</v>
      </c>
    </row>
    <row r="1390" spans="1:11" hidden="1" x14ac:dyDescent="0.25">
      <c r="A1390" s="389" t="e">
        <f>IF(D1390=0,0,IF(D1389=0,A1388+1,A1389+1))</f>
        <v>#N/A</v>
      </c>
      <c r="B1390" s="390" t="s">
        <v>351</v>
      </c>
      <c r="C1390" s="389" t="s">
        <v>224</v>
      </c>
      <c r="D1390" s="394" t="e">
        <f>VLOOKUP($F$50,таблица,56,0)</f>
        <v>#N/A</v>
      </c>
      <c r="K1390" s="365" t="e">
        <f t="shared" si="193"/>
        <v>#N/A</v>
      </c>
    </row>
    <row r="1391" spans="1:11" hidden="1" x14ac:dyDescent="0.25">
      <c r="A1391" s="464" t="s">
        <v>225</v>
      </c>
      <c r="B1391" s="464"/>
      <c r="C1391" s="464"/>
      <c r="D1391" s="464"/>
      <c r="K1391" s="365" t="str">
        <f>IF($F$50=0,"",1)</f>
        <v/>
      </c>
    </row>
    <row r="1392" spans="1:11" ht="31.5" hidden="1" x14ac:dyDescent="0.25">
      <c r="A1392" s="389" t="e">
        <f>IF(D1392=0,0,IF(D1390=0,IF(D1389=0,A1386+1,A1389+1),A1390+1))</f>
        <v>#N/A</v>
      </c>
      <c r="B1392" s="395" t="s">
        <v>275</v>
      </c>
      <c r="C1392" s="389" t="s">
        <v>224</v>
      </c>
      <c r="D1392" s="394" t="e">
        <f>SUM(VLOOKUP($F$50,таблица,41,0),D1389)</f>
        <v>#N/A</v>
      </c>
      <c r="E1392" s="365"/>
      <c r="K1392" s="365" t="e">
        <f t="shared" ref="K1392:K1398" si="194">IF(D1392=0,"",1)</f>
        <v>#N/A</v>
      </c>
    </row>
    <row r="1393" spans="1:11" hidden="1" x14ac:dyDescent="0.25">
      <c r="A1393" s="389" t="e">
        <f>IF(D1393=0,0,A1392+1)</f>
        <v>#N/A</v>
      </c>
      <c r="B1393" s="395" t="s">
        <v>227</v>
      </c>
      <c r="C1393" s="389" t="s">
        <v>224</v>
      </c>
      <c r="D1393" s="394" t="e">
        <f>VLOOKUP($F$50,таблица,51,0)</f>
        <v>#N/A</v>
      </c>
      <c r="E1393" s="365"/>
      <c r="K1393" s="365" t="e">
        <f t="shared" si="194"/>
        <v>#N/A</v>
      </c>
    </row>
    <row r="1394" spans="1:11" hidden="1" x14ac:dyDescent="0.25">
      <c r="A1394" s="389" t="e">
        <f>IF(D1394=0,0,A1393+1)</f>
        <v>#N/A</v>
      </c>
      <c r="B1394" s="395" t="s">
        <v>274</v>
      </c>
      <c r="C1394" s="389" t="s">
        <v>224</v>
      </c>
      <c r="D1394" s="397" t="e">
        <f>SUM(D1392:D1393)</f>
        <v>#N/A</v>
      </c>
      <c r="E1394" s="391" t="e">
        <f>VLOOKUP($F$50,таблица,71,0)</f>
        <v>#N/A</v>
      </c>
      <c r="K1394" s="365" t="e">
        <f t="shared" si="194"/>
        <v>#N/A</v>
      </c>
    </row>
    <row r="1395" spans="1:11" ht="31.5" hidden="1" x14ac:dyDescent="0.25">
      <c r="A1395" s="389" t="e">
        <f>IF(D1395=0,0,IF(D1394=0,IF(D1390=0,A1386+1,A1390+1),A1394+1))</f>
        <v>#N/A</v>
      </c>
      <c r="B1395" s="395" t="s">
        <v>349</v>
      </c>
      <c r="C1395" s="389" t="s">
        <v>224</v>
      </c>
      <c r="D1395" s="394" t="e">
        <f>VLOOKUP($F$50,таблица,36,0)-VLOOKUP($F$50,таблица,41,0)+D1390</f>
        <v>#N/A</v>
      </c>
      <c r="K1395" s="365" t="e">
        <f t="shared" si="194"/>
        <v>#N/A</v>
      </c>
    </row>
    <row r="1396" spans="1:11" hidden="1" x14ac:dyDescent="0.25">
      <c r="A1396" s="389" t="e">
        <f>IF(D1396=0,0,A1395+1)</f>
        <v>#N/A</v>
      </c>
      <c r="B1396" s="395" t="s">
        <v>227</v>
      </c>
      <c r="C1396" s="389" t="s">
        <v>224</v>
      </c>
      <c r="D1396" s="394" t="e">
        <f>VLOOKUP($F$50,таблица,61,0)</f>
        <v>#N/A</v>
      </c>
      <c r="K1396" s="365" t="e">
        <f t="shared" si="194"/>
        <v>#N/A</v>
      </c>
    </row>
    <row r="1397" spans="1:11" hidden="1" x14ac:dyDescent="0.25">
      <c r="A1397" s="389" t="e">
        <f>IF(D1397=0,0,A1396+1)</f>
        <v>#N/A</v>
      </c>
      <c r="B1397" s="395" t="s">
        <v>350</v>
      </c>
      <c r="C1397" s="389" t="s">
        <v>224</v>
      </c>
      <c r="D1397" s="397" t="e">
        <f>SUM(D1395:D1396)</f>
        <v>#N/A</v>
      </c>
      <c r="E1397" s="391" t="e">
        <f>VLOOKUP($F$50,таблица,72,0)</f>
        <v>#N/A</v>
      </c>
      <c r="K1397" s="365" t="e">
        <f t="shared" si="194"/>
        <v>#N/A</v>
      </c>
    </row>
    <row r="1398" spans="1:11" hidden="1" x14ac:dyDescent="0.25">
      <c r="A1398" s="389" t="e">
        <f>IF(D1398=0,0,A1397+1)</f>
        <v>#N/A</v>
      </c>
      <c r="B1398" s="395" t="s">
        <v>226</v>
      </c>
      <c r="C1398" s="389" t="s">
        <v>224</v>
      </c>
      <c r="D1398" s="397" t="e">
        <f>IF(OR(D1394=0,D1397=0),0,D1397+D1394)</f>
        <v>#N/A</v>
      </c>
      <c r="E1398" s="391" t="e">
        <f>VLOOKUP($F$50,таблица,62,0)</f>
        <v>#N/A</v>
      </c>
      <c r="K1398" s="365" t="e">
        <f t="shared" si="194"/>
        <v>#N/A</v>
      </c>
    </row>
    <row r="1399" spans="1:11" hidden="1" x14ac:dyDescent="0.25">
      <c r="A1399" s="400"/>
      <c r="B1399" s="400"/>
      <c r="C1399" s="400"/>
      <c r="D1399" s="401"/>
      <c r="K1399" s="365" t="str">
        <f>IF($F$50=0,"",1)</f>
        <v/>
      </c>
    </row>
    <row r="1400" spans="1:11" ht="47.25" hidden="1" customHeight="1" x14ac:dyDescent="0.25">
      <c r="A1400" s="465" t="str">
        <f>'Анализ стоимости'!$I$58</f>
        <v>Начальник финансового отдела</v>
      </c>
      <c r="B1400" s="466"/>
      <c r="C1400" s="402"/>
      <c r="D1400" s="403" t="str">
        <f>'Анализ стоимости'!$I$59</f>
        <v>А.Ю.Кашуба</v>
      </c>
      <c r="H1400" s="405" t="str">
        <f>A1400</f>
        <v>Начальник финансового отдела</v>
      </c>
      <c r="K1400" s="365" t="str">
        <f>IF($F$50=0,"",1)</f>
        <v/>
      </c>
    </row>
    <row r="1401" spans="1:11" hidden="1" x14ac:dyDescent="0.25">
      <c r="A1401" s="407"/>
      <c r="B1401" s="407"/>
      <c r="C1401" s="407"/>
      <c r="D1401" s="408"/>
      <c r="K1401" s="365" t="str">
        <f>IF($F$50=0,"",1)</f>
        <v/>
      </c>
    </row>
    <row r="1402" spans="1:11" hidden="1" x14ac:dyDescent="0.25">
      <c r="A1402" s="462">
        <f ca="1">TODAY()</f>
        <v>42101</v>
      </c>
      <c r="B1402" s="462"/>
      <c r="C1402" s="371"/>
      <c r="D1402" s="371"/>
      <c r="K1402" s="365" t="str">
        <f>IF($F$50=0,"",1)</f>
        <v/>
      </c>
    </row>
    <row r="1403" spans="1:11" hidden="1" x14ac:dyDescent="0.25">
      <c r="A1403" s="463" t="s">
        <v>319</v>
      </c>
      <c r="B1403" s="463"/>
      <c r="C1403" s="463"/>
      <c r="D1403" s="463"/>
      <c r="H1403" s="369"/>
      <c r="I1403" s="369"/>
      <c r="K1403" s="365" t="str">
        <f t="shared" ref="K1403:K1420" si="195">IF($F$51=0,"",1)</f>
        <v/>
      </c>
    </row>
    <row r="1404" spans="1:11" ht="47.25" hidden="1" customHeight="1" x14ac:dyDescent="0.2">
      <c r="A1404" s="458" t="e">
        <f>CONCATENATE("Наименование объекта: ",VLOOKUP($F$51,таблица,9,0))</f>
        <v>#N/A</v>
      </c>
      <c r="B1404" s="458"/>
      <c r="C1404" s="458"/>
      <c r="D1404" s="458"/>
      <c r="J1404" s="414" t="e">
        <f>A1404</f>
        <v>#N/A</v>
      </c>
      <c r="K1404" s="365" t="str">
        <f t="shared" si="195"/>
        <v/>
      </c>
    </row>
    <row r="1405" spans="1:11" hidden="1" x14ac:dyDescent="0.25">
      <c r="A1405" s="383"/>
      <c r="B1405" s="372"/>
      <c r="C1405" s="372"/>
      <c r="D1405" s="372"/>
      <c r="K1405" s="365" t="str">
        <f t="shared" si="195"/>
        <v/>
      </c>
    </row>
    <row r="1406" spans="1:11" hidden="1" x14ac:dyDescent="0.25">
      <c r="A1406" s="415" t="s">
        <v>218</v>
      </c>
      <c r="B1406" s="378"/>
      <c r="C1406" s="378"/>
      <c r="D1406" s="378"/>
      <c r="K1406" s="365" t="str">
        <f t="shared" si="195"/>
        <v/>
      </c>
    </row>
    <row r="1407" spans="1:11" hidden="1" x14ac:dyDescent="0.25">
      <c r="A1407" s="459" t="s">
        <v>219</v>
      </c>
      <c r="B1407" s="459"/>
      <c r="C1407" s="459"/>
      <c r="D1407" s="459"/>
      <c r="K1407" s="365" t="str">
        <f t="shared" si="195"/>
        <v/>
      </c>
    </row>
    <row r="1408" spans="1:11" ht="31.5" hidden="1" x14ac:dyDescent="0.25">
      <c r="A1408" s="385" t="s">
        <v>111</v>
      </c>
      <c r="B1408" s="385" t="s">
        <v>167</v>
      </c>
      <c r="C1408" s="460" t="e">
        <f>CONCATENATE("Стоимость  согласно сметной документации (руб.) в текущих ценах по состоянию на ",VLOOKUP($F$51,таблица,5,0)," г.")</f>
        <v>#N/A</v>
      </c>
      <c r="D1408" s="461"/>
      <c r="I1408" s="386" t="e">
        <f>C1408</f>
        <v>#N/A</v>
      </c>
      <c r="K1408" s="365" t="str">
        <f t="shared" si="195"/>
        <v/>
      </c>
    </row>
    <row r="1409" spans="1:11" hidden="1" x14ac:dyDescent="0.25">
      <c r="A1409" s="389">
        <v>1</v>
      </c>
      <c r="B1409" s="390" t="s">
        <v>68</v>
      </c>
      <c r="C1409" s="455" t="e">
        <f>VLOOKUP($F$51,таблица,10,0)</f>
        <v>#N/A</v>
      </c>
      <c r="D1409" s="456"/>
      <c r="K1409" s="365" t="str">
        <f t="shared" si="195"/>
        <v/>
      </c>
    </row>
    <row r="1410" spans="1:11" hidden="1" x14ac:dyDescent="0.25">
      <c r="A1410" s="389">
        <v>2</v>
      </c>
      <c r="B1410" s="390" t="s">
        <v>58</v>
      </c>
      <c r="C1410" s="455" t="e">
        <f>VLOOKUP($F$51,таблица,11,0)</f>
        <v>#N/A</v>
      </c>
      <c r="D1410" s="456"/>
      <c r="K1410" s="365" t="str">
        <f t="shared" si="195"/>
        <v/>
      </c>
    </row>
    <row r="1411" spans="1:11" ht="31.5" hidden="1" x14ac:dyDescent="0.25">
      <c r="A1411" s="389">
        <v>3</v>
      </c>
      <c r="B1411" s="390" t="s">
        <v>8</v>
      </c>
      <c r="C1411" s="455" t="e">
        <f>VLOOKUP($F$51,таблица,12,0)</f>
        <v>#N/A</v>
      </c>
      <c r="D1411" s="456"/>
      <c r="K1411" s="365" t="str">
        <f t="shared" si="195"/>
        <v/>
      </c>
    </row>
    <row r="1412" spans="1:11" hidden="1" x14ac:dyDescent="0.25">
      <c r="A1412" s="389">
        <v>4</v>
      </c>
      <c r="B1412" s="390" t="s">
        <v>59</v>
      </c>
      <c r="C1412" s="455" t="e">
        <f>VLOOKUP($F$51,таблица,13,0)</f>
        <v>#N/A</v>
      </c>
      <c r="D1412" s="456"/>
      <c r="K1412" s="365" t="str">
        <f t="shared" si="195"/>
        <v/>
      </c>
    </row>
    <row r="1413" spans="1:11" hidden="1" x14ac:dyDescent="0.25">
      <c r="A1413" s="389">
        <v>5</v>
      </c>
      <c r="B1413" s="390" t="s">
        <v>14</v>
      </c>
      <c r="C1413" s="455" t="e">
        <f>VLOOKUP($F$51,таблица,14,0)</f>
        <v>#N/A</v>
      </c>
      <c r="D1413" s="456"/>
      <c r="K1413" s="365" t="str">
        <f t="shared" si="195"/>
        <v/>
      </c>
    </row>
    <row r="1414" spans="1:11" hidden="1" x14ac:dyDescent="0.25">
      <c r="A1414" s="389">
        <v>6</v>
      </c>
      <c r="B1414" s="390" t="s">
        <v>23</v>
      </c>
      <c r="C1414" s="455" t="e">
        <f>VLOOKUP($F$51,таблица,18,0)</f>
        <v>#N/A</v>
      </c>
      <c r="D1414" s="456"/>
      <c r="K1414" s="365" t="str">
        <f t="shared" si="195"/>
        <v/>
      </c>
    </row>
    <row r="1415" spans="1:11" hidden="1" x14ac:dyDescent="0.25">
      <c r="A1415" s="389">
        <v>7</v>
      </c>
      <c r="B1415" s="390" t="s">
        <v>156</v>
      </c>
      <c r="C1415" s="455" t="e">
        <f>VLOOKUP($F$51,таблица,19,0)+VLOOKUP($F$51,таблица,21,0)+VLOOKUP($F$51,таблица,22,0)+VLOOKUP($F$51,таблица,23,0)+VLOOKUP($F$51,таблица,24,0)+VLOOKUP($F$51,таблица,25,0)+VLOOKUP($F$51,таблица,26,0)</f>
        <v>#N/A</v>
      </c>
      <c r="D1415" s="456"/>
      <c r="K1415" s="365" t="str">
        <f t="shared" si="195"/>
        <v/>
      </c>
    </row>
    <row r="1416" spans="1:11" hidden="1" x14ac:dyDescent="0.25">
      <c r="A1416" s="389">
        <v>8</v>
      </c>
      <c r="B1416" s="390" t="s">
        <v>101</v>
      </c>
      <c r="C1416" s="455" t="e">
        <f>VLOOKUP($F$51,таблица,31,0)</f>
        <v>#N/A</v>
      </c>
      <c r="D1416" s="456"/>
      <c r="K1416" s="365" t="str">
        <f t="shared" si="195"/>
        <v/>
      </c>
    </row>
    <row r="1417" spans="1:11" hidden="1" x14ac:dyDescent="0.25">
      <c r="A1417" s="389">
        <v>9</v>
      </c>
      <c r="B1417" s="390" t="s">
        <v>241</v>
      </c>
      <c r="C1417" s="455" t="e">
        <f>SUM(C1409:D1416)</f>
        <v>#N/A</v>
      </c>
      <c r="D1417" s="456"/>
      <c r="K1417" s="365" t="str">
        <f t="shared" si="195"/>
        <v/>
      </c>
    </row>
    <row r="1418" spans="1:11" hidden="1" x14ac:dyDescent="0.25">
      <c r="A1418" s="464" t="s">
        <v>231</v>
      </c>
      <c r="B1418" s="464"/>
      <c r="C1418" s="464"/>
      <c r="D1418" s="464"/>
      <c r="K1418" s="365" t="str">
        <f t="shared" si="195"/>
        <v/>
      </c>
    </row>
    <row r="1419" spans="1:11" ht="31.5" hidden="1" x14ac:dyDescent="0.25">
      <c r="A1419" s="392" t="s">
        <v>111</v>
      </c>
      <c r="B1419" s="385" t="s">
        <v>36</v>
      </c>
      <c r="C1419" s="385" t="s">
        <v>221</v>
      </c>
      <c r="D1419" s="385" t="s">
        <v>168</v>
      </c>
      <c r="K1419" s="365" t="str">
        <f t="shared" si="195"/>
        <v/>
      </c>
    </row>
    <row r="1420" spans="1:11" hidden="1" x14ac:dyDescent="0.25">
      <c r="A1420" s="389">
        <v>10</v>
      </c>
      <c r="B1420" s="389" t="e">
        <f>VLOOKUP((VLOOKUP($F$51,таблица,8,0)),рем_содер,2,0)</f>
        <v>#N/A</v>
      </c>
      <c r="C1420" s="389"/>
      <c r="D1420" s="390"/>
      <c r="K1420" s="365" t="str">
        <f t="shared" si="195"/>
        <v/>
      </c>
    </row>
    <row r="1421" spans="1:11" hidden="1" x14ac:dyDescent="0.25">
      <c r="A1421" s="389" t="e">
        <f>IF(D1421=0,0,A1420+1)</f>
        <v>#N/A</v>
      </c>
      <c r="B1421" s="390" t="e">
        <f>CONCATENATE("2015 г. (",CHOOSE(VLOOKUP($F$51,таблица,63,0),"Январь","Февраль","Март","Апрель","Май","Июнь","Июль","Август","Сентябрь","Октябрь","Ноябрь","Декабрь")," - ",CHOOSE(VLOOKUP($F$51,таблица,64,0),"Январь","Февраль","Март","Апрель","Май","Июнь","Июль","Август","Сентябрь","Октябрь","Ноябрь","Декабрь"),")")</f>
        <v>#N/A</v>
      </c>
      <c r="C1421" s="389" t="s">
        <v>222</v>
      </c>
      <c r="D1421" s="417" t="e">
        <f>IF(D1423=0,0,VLOOKUP($F$51,таблица,69,0)*100+100)</f>
        <v>#N/A</v>
      </c>
      <c r="K1421" s="365" t="e">
        <f>IF(D1421=0,"",1)</f>
        <v>#N/A</v>
      </c>
    </row>
    <row r="1422" spans="1:11" hidden="1" x14ac:dyDescent="0.25">
      <c r="A1422" s="389" t="e">
        <f>IF(D1422=0,0,IF(D1421=0,A1420+1,A1421+1))</f>
        <v>#N/A</v>
      </c>
      <c r="B1422" s="390" t="e">
        <f>CONCATENATE("2016 г. (",CHOOSE(VLOOKUP($F$51,таблица,65,0),"Январь","Февраль","Март","Апрель","Май","Июнь","Июль","Август","Сентябрь","Октябрь","Ноябрь","Декабрь")," - ",CHOOSE(VLOOKUP($F$51,таблица,66,0),"Январь","Февраль","Март","Апрель","Май","Июнь","Июль","Август","Сентябрь","Октябрь","Ноябрь","Декабрь"),")")</f>
        <v>#N/A</v>
      </c>
      <c r="C1422" s="389" t="s">
        <v>222</v>
      </c>
      <c r="D1422" s="417" t="e">
        <f>IF(D1424=0,0,VLOOKUP($F$51,таблица,70,0)*100+100)</f>
        <v>#N/A</v>
      </c>
      <c r="K1422" s="365" t="e">
        <f t="shared" ref="K1422:K1424" si="196">IF(D1422=0,"",1)</f>
        <v>#N/A</v>
      </c>
    </row>
    <row r="1423" spans="1:11" hidden="1" x14ac:dyDescent="0.25">
      <c r="A1423" s="389" t="e">
        <f>IF(D1423=0,0,IF(D1422=0,A1421+1,A1422+1))</f>
        <v>#N/A</v>
      </c>
      <c r="B1423" s="390" t="s">
        <v>223</v>
      </c>
      <c r="C1423" s="389" t="s">
        <v>224</v>
      </c>
      <c r="D1423" s="394" t="e">
        <f>VLOOKUP($F$51,таблица,46,0)</f>
        <v>#N/A</v>
      </c>
      <c r="K1423" s="365" t="e">
        <f t="shared" si="196"/>
        <v>#N/A</v>
      </c>
    </row>
    <row r="1424" spans="1:11" hidden="1" x14ac:dyDescent="0.25">
      <c r="A1424" s="389" t="e">
        <f>IF(D1424=0,0,IF(D1423=0,A1422+1,A1423+1))</f>
        <v>#N/A</v>
      </c>
      <c r="B1424" s="390" t="s">
        <v>351</v>
      </c>
      <c r="C1424" s="389" t="s">
        <v>224</v>
      </c>
      <c r="D1424" s="394" t="e">
        <f>VLOOKUP($F$51,таблица,56,0)</f>
        <v>#N/A</v>
      </c>
      <c r="K1424" s="365" t="e">
        <f t="shared" si="196"/>
        <v>#N/A</v>
      </c>
    </row>
    <row r="1425" spans="1:11" hidden="1" x14ac:dyDescent="0.25">
      <c r="A1425" s="464" t="s">
        <v>225</v>
      </c>
      <c r="B1425" s="464"/>
      <c r="C1425" s="464"/>
      <c r="D1425" s="464"/>
      <c r="K1425" s="365" t="str">
        <f>IF($F$51=0,"",1)</f>
        <v/>
      </c>
    </row>
    <row r="1426" spans="1:11" ht="31.5" hidden="1" x14ac:dyDescent="0.25">
      <c r="A1426" s="389" t="e">
        <f>IF(D1426=0,0,IF(D1424=0,IF(D1423=0,A1420+1,A1423+1),A1424+1))</f>
        <v>#N/A</v>
      </c>
      <c r="B1426" s="395" t="s">
        <v>275</v>
      </c>
      <c r="C1426" s="389" t="s">
        <v>224</v>
      </c>
      <c r="D1426" s="394" t="e">
        <f>SUM(VLOOKUP($F$51,таблица,41,0),D1423)</f>
        <v>#N/A</v>
      </c>
      <c r="E1426" s="365"/>
      <c r="K1426" s="365" t="e">
        <f t="shared" ref="K1426:K1432" si="197">IF(D1426=0,"",1)</f>
        <v>#N/A</v>
      </c>
    </row>
    <row r="1427" spans="1:11" hidden="1" x14ac:dyDescent="0.25">
      <c r="A1427" s="389" t="e">
        <f>IF(D1427=0,0,A1426+1)</f>
        <v>#N/A</v>
      </c>
      <c r="B1427" s="395" t="s">
        <v>227</v>
      </c>
      <c r="C1427" s="389" t="s">
        <v>224</v>
      </c>
      <c r="D1427" s="394" t="e">
        <f>VLOOKUP($F$51,таблица,51,0)</f>
        <v>#N/A</v>
      </c>
      <c r="E1427" s="365"/>
      <c r="K1427" s="365" t="e">
        <f t="shared" si="197"/>
        <v>#N/A</v>
      </c>
    </row>
    <row r="1428" spans="1:11" hidden="1" x14ac:dyDescent="0.25">
      <c r="A1428" s="389" t="e">
        <f>IF(D1428=0,0,A1427+1)</f>
        <v>#N/A</v>
      </c>
      <c r="B1428" s="395" t="s">
        <v>274</v>
      </c>
      <c r="C1428" s="389" t="s">
        <v>224</v>
      </c>
      <c r="D1428" s="397" t="e">
        <f>SUM(D1426:D1427)</f>
        <v>#N/A</v>
      </c>
      <c r="E1428" s="391" t="e">
        <f>VLOOKUP($F$51,таблица,71,0)</f>
        <v>#N/A</v>
      </c>
      <c r="K1428" s="365" t="e">
        <f t="shared" si="197"/>
        <v>#N/A</v>
      </c>
    </row>
    <row r="1429" spans="1:11" ht="31.5" hidden="1" x14ac:dyDescent="0.25">
      <c r="A1429" s="389" t="e">
        <f>IF(D1429=0,0,IF(D1428=0,IF(D1424=0,A1420+1,A1424+1),A1428+1))</f>
        <v>#N/A</v>
      </c>
      <c r="B1429" s="395" t="s">
        <v>349</v>
      </c>
      <c r="C1429" s="389" t="s">
        <v>224</v>
      </c>
      <c r="D1429" s="394" t="e">
        <f>VLOOKUP($F$51,таблица,36,0)-VLOOKUP($F$51,таблица,41,0)+D1424</f>
        <v>#N/A</v>
      </c>
      <c r="K1429" s="365" t="e">
        <f t="shared" si="197"/>
        <v>#N/A</v>
      </c>
    </row>
    <row r="1430" spans="1:11" hidden="1" x14ac:dyDescent="0.25">
      <c r="A1430" s="389" t="e">
        <f>IF(D1430=0,0,A1429+1)</f>
        <v>#N/A</v>
      </c>
      <c r="B1430" s="395" t="s">
        <v>227</v>
      </c>
      <c r="C1430" s="389" t="s">
        <v>224</v>
      </c>
      <c r="D1430" s="394" t="e">
        <f>VLOOKUP($F$51,таблица,61,0)</f>
        <v>#N/A</v>
      </c>
      <c r="K1430" s="365" t="e">
        <f t="shared" si="197"/>
        <v>#N/A</v>
      </c>
    </row>
    <row r="1431" spans="1:11" hidden="1" x14ac:dyDescent="0.25">
      <c r="A1431" s="389" t="e">
        <f>IF(D1431=0,0,A1430+1)</f>
        <v>#N/A</v>
      </c>
      <c r="B1431" s="395" t="s">
        <v>350</v>
      </c>
      <c r="C1431" s="389" t="s">
        <v>224</v>
      </c>
      <c r="D1431" s="397" t="e">
        <f>SUM(D1429:D1430)</f>
        <v>#N/A</v>
      </c>
      <c r="E1431" s="391" t="e">
        <f>VLOOKUP($F$51,таблица,72,0)</f>
        <v>#N/A</v>
      </c>
      <c r="K1431" s="365" t="e">
        <f t="shared" si="197"/>
        <v>#N/A</v>
      </c>
    </row>
    <row r="1432" spans="1:11" hidden="1" x14ac:dyDescent="0.25">
      <c r="A1432" s="389" t="e">
        <f>IF(D1432=0,0,A1431+1)</f>
        <v>#N/A</v>
      </c>
      <c r="B1432" s="395" t="s">
        <v>226</v>
      </c>
      <c r="C1432" s="389" t="s">
        <v>224</v>
      </c>
      <c r="D1432" s="397" t="e">
        <f>IF(OR(D1428=0,D1431=0),0,D1431+D1428)</f>
        <v>#N/A</v>
      </c>
      <c r="E1432" s="391" t="e">
        <f>VLOOKUP($F$51,таблица,62,0)</f>
        <v>#N/A</v>
      </c>
      <c r="K1432" s="365" t="e">
        <f t="shared" si="197"/>
        <v>#N/A</v>
      </c>
    </row>
    <row r="1433" spans="1:11" hidden="1" x14ac:dyDescent="0.25">
      <c r="A1433" s="400"/>
      <c r="B1433" s="400"/>
      <c r="C1433" s="400"/>
      <c r="D1433" s="401"/>
      <c r="K1433" s="365" t="str">
        <f>IF($F$51=0,"",1)</f>
        <v/>
      </c>
    </row>
    <row r="1434" spans="1:11" ht="47.25" hidden="1" customHeight="1" x14ac:dyDescent="0.25">
      <c r="A1434" s="465" t="str">
        <f>'Анализ стоимости'!$I$58</f>
        <v>Начальник финансового отдела</v>
      </c>
      <c r="B1434" s="466"/>
      <c r="C1434" s="402"/>
      <c r="D1434" s="403" t="str">
        <f>'Анализ стоимости'!$I$59</f>
        <v>А.Ю.Кашуба</v>
      </c>
      <c r="H1434" s="405" t="str">
        <f>A1434</f>
        <v>Начальник финансового отдела</v>
      </c>
      <c r="K1434" s="365" t="str">
        <f>IF($F$51=0,"",1)</f>
        <v/>
      </c>
    </row>
    <row r="1435" spans="1:11" hidden="1" x14ac:dyDescent="0.25">
      <c r="A1435" s="407"/>
      <c r="B1435" s="407"/>
      <c r="C1435" s="407"/>
      <c r="D1435" s="408"/>
      <c r="K1435" s="365" t="str">
        <f>IF($F$51=0,"",1)</f>
        <v/>
      </c>
    </row>
    <row r="1436" spans="1:11" hidden="1" x14ac:dyDescent="0.25">
      <c r="A1436" s="462">
        <f ca="1">TODAY()</f>
        <v>42101</v>
      </c>
      <c r="B1436" s="462"/>
      <c r="C1436" s="371"/>
      <c r="D1436" s="371"/>
      <c r="K1436" s="365" t="str">
        <f>IF($F$51=0,"",1)</f>
        <v/>
      </c>
    </row>
    <row r="1437" spans="1:11" hidden="1" x14ac:dyDescent="0.25">
      <c r="A1437" s="463" t="s">
        <v>320</v>
      </c>
      <c r="B1437" s="463"/>
      <c r="C1437" s="463"/>
      <c r="D1437" s="463"/>
      <c r="H1437" s="369"/>
      <c r="I1437" s="369"/>
      <c r="K1437" s="365" t="str">
        <f>IF($F$52=0,"",1)</f>
        <v/>
      </c>
    </row>
    <row r="1438" spans="1:11" ht="47.25" hidden="1" customHeight="1" x14ac:dyDescent="0.2">
      <c r="A1438" s="458" t="e">
        <f>CONCATENATE("Наименование объекта: ",VLOOKUP($F$52,таблица,9,0))</f>
        <v>#N/A</v>
      </c>
      <c r="B1438" s="458"/>
      <c r="C1438" s="458"/>
      <c r="D1438" s="458"/>
      <c r="J1438" s="414" t="e">
        <f>A1438</f>
        <v>#N/A</v>
      </c>
      <c r="K1438" s="365" t="str">
        <f t="shared" ref="K1438:K1454" si="198">IF($F$52=0,"",1)</f>
        <v/>
      </c>
    </row>
    <row r="1439" spans="1:11" hidden="1" x14ac:dyDescent="0.25">
      <c r="A1439" s="383"/>
      <c r="B1439" s="372"/>
      <c r="C1439" s="372"/>
      <c r="D1439" s="372"/>
      <c r="K1439" s="365" t="str">
        <f t="shared" si="198"/>
        <v/>
      </c>
    </row>
    <row r="1440" spans="1:11" hidden="1" x14ac:dyDescent="0.25">
      <c r="A1440" s="415" t="s">
        <v>218</v>
      </c>
      <c r="B1440" s="378"/>
      <c r="C1440" s="378"/>
      <c r="D1440" s="378"/>
      <c r="K1440" s="365" t="str">
        <f t="shared" si="198"/>
        <v/>
      </c>
    </row>
    <row r="1441" spans="1:11" hidden="1" x14ac:dyDescent="0.25">
      <c r="A1441" s="459" t="s">
        <v>219</v>
      </c>
      <c r="B1441" s="459"/>
      <c r="C1441" s="459"/>
      <c r="D1441" s="459"/>
      <c r="K1441" s="365" t="str">
        <f t="shared" si="198"/>
        <v/>
      </c>
    </row>
    <row r="1442" spans="1:11" ht="31.5" hidden="1" x14ac:dyDescent="0.25">
      <c r="A1442" s="385" t="s">
        <v>111</v>
      </c>
      <c r="B1442" s="385" t="s">
        <v>167</v>
      </c>
      <c r="C1442" s="460" t="e">
        <f>CONCATENATE("Стоимость  согласно сметной документации (руб.) в текущих ценах по состоянию на ",VLOOKUP($F$52,таблица,5,0)," г.")</f>
        <v>#N/A</v>
      </c>
      <c r="D1442" s="461"/>
      <c r="I1442" s="386" t="e">
        <f>C1442</f>
        <v>#N/A</v>
      </c>
      <c r="K1442" s="365" t="str">
        <f t="shared" si="198"/>
        <v/>
      </c>
    </row>
    <row r="1443" spans="1:11" hidden="1" x14ac:dyDescent="0.25">
      <c r="A1443" s="389">
        <v>1</v>
      </c>
      <c r="B1443" s="390" t="s">
        <v>68</v>
      </c>
      <c r="C1443" s="455" t="e">
        <f>VLOOKUP($F$52,таблица,10,0)</f>
        <v>#N/A</v>
      </c>
      <c r="D1443" s="456"/>
      <c r="K1443" s="365" t="str">
        <f t="shared" si="198"/>
        <v/>
      </c>
    </row>
    <row r="1444" spans="1:11" hidden="1" x14ac:dyDescent="0.25">
      <c r="A1444" s="389">
        <v>2</v>
      </c>
      <c r="B1444" s="390" t="s">
        <v>58</v>
      </c>
      <c r="C1444" s="455" t="e">
        <f>VLOOKUP($F$52,таблица,11,0)</f>
        <v>#N/A</v>
      </c>
      <c r="D1444" s="456"/>
      <c r="K1444" s="365" t="str">
        <f t="shared" si="198"/>
        <v/>
      </c>
    </row>
    <row r="1445" spans="1:11" ht="31.5" hidden="1" x14ac:dyDescent="0.25">
      <c r="A1445" s="389">
        <v>3</v>
      </c>
      <c r="B1445" s="390" t="s">
        <v>8</v>
      </c>
      <c r="C1445" s="455" t="e">
        <f>VLOOKUP($F$52,таблица,12,0)</f>
        <v>#N/A</v>
      </c>
      <c r="D1445" s="456"/>
      <c r="K1445" s="365" t="str">
        <f t="shared" si="198"/>
        <v/>
      </c>
    </row>
    <row r="1446" spans="1:11" hidden="1" x14ac:dyDescent="0.25">
      <c r="A1446" s="389">
        <v>4</v>
      </c>
      <c r="B1446" s="390" t="s">
        <v>59</v>
      </c>
      <c r="C1446" s="455" t="e">
        <f>VLOOKUP($F$52,таблица,13,0)</f>
        <v>#N/A</v>
      </c>
      <c r="D1446" s="456"/>
      <c r="K1446" s="365" t="str">
        <f t="shared" si="198"/>
        <v/>
      </c>
    </row>
    <row r="1447" spans="1:11" hidden="1" x14ac:dyDescent="0.25">
      <c r="A1447" s="389">
        <v>5</v>
      </c>
      <c r="B1447" s="390" t="s">
        <v>14</v>
      </c>
      <c r="C1447" s="455" t="e">
        <f>VLOOKUP($F$52,таблица,14,0)</f>
        <v>#N/A</v>
      </c>
      <c r="D1447" s="456"/>
      <c r="K1447" s="365" t="str">
        <f t="shared" si="198"/>
        <v/>
      </c>
    </row>
    <row r="1448" spans="1:11" hidden="1" x14ac:dyDescent="0.25">
      <c r="A1448" s="389">
        <v>6</v>
      </c>
      <c r="B1448" s="390" t="s">
        <v>23</v>
      </c>
      <c r="C1448" s="455" t="e">
        <f>VLOOKUP($F$52,таблица,18,0)</f>
        <v>#N/A</v>
      </c>
      <c r="D1448" s="456"/>
      <c r="K1448" s="365" t="str">
        <f t="shared" si="198"/>
        <v/>
      </c>
    </row>
    <row r="1449" spans="1:11" hidden="1" x14ac:dyDescent="0.25">
      <c r="A1449" s="389">
        <v>7</v>
      </c>
      <c r="B1449" s="390" t="s">
        <v>156</v>
      </c>
      <c r="C1449" s="455" t="e">
        <f>VLOOKUP($F$52,таблица,19,0)+VLOOKUP($F$52,таблица,21,0)+VLOOKUP($F$52,таблица,22,0)+VLOOKUP($F$52,таблица,23,0)+VLOOKUP($F$52,таблица,24,0)+VLOOKUP($F$52,таблица,25,0)+VLOOKUP($F$52,таблица,26,0)</f>
        <v>#N/A</v>
      </c>
      <c r="D1449" s="456"/>
      <c r="K1449" s="365" t="str">
        <f t="shared" si="198"/>
        <v/>
      </c>
    </row>
    <row r="1450" spans="1:11" hidden="1" x14ac:dyDescent="0.25">
      <c r="A1450" s="389">
        <v>8</v>
      </c>
      <c r="B1450" s="390" t="s">
        <v>101</v>
      </c>
      <c r="C1450" s="455" t="e">
        <f>VLOOKUP($F$52,таблица,31,0)</f>
        <v>#N/A</v>
      </c>
      <c r="D1450" s="456"/>
      <c r="K1450" s="365" t="str">
        <f t="shared" si="198"/>
        <v/>
      </c>
    </row>
    <row r="1451" spans="1:11" hidden="1" x14ac:dyDescent="0.25">
      <c r="A1451" s="389">
        <v>9</v>
      </c>
      <c r="B1451" s="390" t="s">
        <v>241</v>
      </c>
      <c r="C1451" s="455" t="e">
        <f>SUM(C1443:D1450)</f>
        <v>#N/A</v>
      </c>
      <c r="D1451" s="456"/>
      <c r="K1451" s="365" t="str">
        <f t="shared" si="198"/>
        <v/>
      </c>
    </row>
    <row r="1452" spans="1:11" hidden="1" x14ac:dyDescent="0.25">
      <c r="A1452" s="464" t="s">
        <v>231</v>
      </c>
      <c r="B1452" s="464"/>
      <c r="C1452" s="464"/>
      <c r="D1452" s="464"/>
      <c r="K1452" s="365" t="str">
        <f t="shared" si="198"/>
        <v/>
      </c>
    </row>
    <row r="1453" spans="1:11" ht="31.5" hidden="1" x14ac:dyDescent="0.25">
      <c r="A1453" s="392" t="s">
        <v>111</v>
      </c>
      <c r="B1453" s="385" t="s">
        <v>36</v>
      </c>
      <c r="C1453" s="385" t="s">
        <v>221</v>
      </c>
      <c r="D1453" s="385" t="s">
        <v>168</v>
      </c>
      <c r="K1453" s="365" t="str">
        <f t="shared" si="198"/>
        <v/>
      </c>
    </row>
    <row r="1454" spans="1:11" hidden="1" x14ac:dyDescent="0.25">
      <c r="A1454" s="389">
        <v>10</v>
      </c>
      <c r="B1454" s="389" t="e">
        <f>VLOOKUP((VLOOKUP($F$52,таблица,8,0)),рем_содер,2,0)</f>
        <v>#N/A</v>
      </c>
      <c r="C1454" s="389"/>
      <c r="D1454" s="390"/>
      <c r="K1454" s="365" t="str">
        <f t="shared" si="198"/>
        <v/>
      </c>
    </row>
    <row r="1455" spans="1:11" hidden="1" x14ac:dyDescent="0.25">
      <c r="A1455" s="389" t="e">
        <f>IF(D1455=0,0,A1454+1)</f>
        <v>#N/A</v>
      </c>
      <c r="B1455" s="390" t="e">
        <f>CONCATENATE("2015 г. (",CHOOSE(VLOOKUP(F$52,таблица,63,0),"Январь","Февраль","Март","Апрель","Май","Июнь","Июль","Август","Сентябрь","Октябрь","Ноябрь","Декабрь")," - ",CHOOSE(VLOOKUP(F$52,таблица,64,0),"Январь","Февраль","Март","Апрель","Май","Июнь","Июль","Август","Сентябрь","Октябрь","Ноябрь","Декабрь"),")")</f>
        <v>#N/A</v>
      </c>
      <c r="C1455" s="389" t="s">
        <v>222</v>
      </c>
      <c r="D1455" s="417" t="e">
        <f>IF(D1457=0,0,VLOOKUP($F$52,таблица,69,0)*100+100)</f>
        <v>#N/A</v>
      </c>
      <c r="K1455" s="365" t="e">
        <f>IF(D1455=0,"",1)</f>
        <v>#N/A</v>
      </c>
    </row>
    <row r="1456" spans="1:11" hidden="1" x14ac:dyDescent="0.25">
      <c r="A1456" s="389" t="e">
        <f>IF(D1456=0,0,IF(D1455=0,A1454+1,A1455+1))</f>
        <v>#N/A</v>
      </c>
      <c r="B1456" s="390" t="e">
        <f>CONCATENATE("2016 г. (",CHOOSE(VLOOKUP(F$52,таблица,65,0),"Январь","Февраль","Март","Апрель","Май","Июнь","Июль","Август","Сентябрь","Октябрь","Ноябрь","Декабрь")," - ",CHOOSE(VLOOKUP(F$52,таблица,66,0),"Январь","Февраль","Март","Апрель","Май","Июнь","Июль","Август","Сентябрь","Октябрь","Ноябрь","Декабрь"),")")</f>
        <v>#N/A</v>
      </c>
      <c r="C1456" s="389" t="s">
        <v>222</v>
      </c>
      <c r="D1456" s="417" t="e">
        <f>IF(D1458=0,0,VLOOKUP($F$52,таблица,70,0)*100+100)</f>
        <v>#N/A</v>
      </c>
      <c r="K1456" s="365" t="e">
        <f t="shared" ref="K1456:K1458" si="199">IF(D1456=0,"",1)</f>
        <v>#N/A</v>
      </c>
    </row>
    <row r="1457" spans="1:11" hidden="1" x14ac:dyDescent="0.25">
      <c r="A1457" s="389" t="e">
        <f>IF(D1457=0,0,IF(D1456=0,A1455+1,A1456+1))</f>
        <v>#N/A</v>
      </c>
      <c r="B1457" s="390" t="s">
        <v>223</v>
      </c>
      <c r="C1457" s="389" t="s">
        <v>224</v>
      </c>
      <c r="D1457" s="394" t="e">
        <f>VLOOKUP($F$52,таблица,46,0)</f>
        <v>#N/A</v>
      </c>
      <c r="K1457" s="365" t="e">
        <f t="shared" si="199"/>
        <v>#N/A</v>
      </c>
    </row>
    <row r="1458" spans="1:11" hidden="1" x14ac:dyDescent="0.25">
      <c r="A1458" s="389" t="e">
        <f>IF(D1458=0,0,IF(D1457=0,A1456+1,A1457+1))</f>
        <v>#N/A</v>
      </c>
      <c r="B1458" s="390" t="s">
        <v>351</v>
      </c>
      <c r="C1458" s="389" t="s">
        <v>224</v>
      </c>
      <c r="D1458" s="394" t="e">
        <f>VLOOKUP($F$52,таблица,56,0)</f>
        <v>#N/A</v>
      </c>
      <c r="K1458" s="365" t="e">
        <f t="shared" si="199"/>
        <v>#N/A</v>
      </c>
    </row>
    <row r="1459" spans="1:11" hidden="1" x14ac:dyDescent="0.25">
      <c r="A1459" s="464" t="s">
        <v>225</v>
      </c>
      <c r="B1459" s="464"/>
      <c r="C1459" s="464"/>
      <c r="D1459" s="464"/>
      <c r="K1459" s="365" t="str">
        <f>IF($F$52=0,"",1)</f>
        <v/>
      </c>
    </row>
    <row r="1460" spans="1:11" ht="31.5" hidden="1" x14ac:dyDescent="0.25">
      <c r="A1460" s="389" t="e">
        <f>IF(D1460=0,0,IF(D1458=0,IF(D1457=0,A1454+1,A1457+1),A1458+1))</f>
        <v>#N/A</v>
      </c>
      <c r="B1460" s="395" t="s">
        <v>275</v>
      </c>
      <c r="C1460" s="389" t="s">
        <v>224</v>
      </c>
      <c r="D1460" s="394" t="e">
        <f>SUM(VLOOKUP($F$52,таблица,41,0),D1457)</f>
        <v>#N/A</v>
      </c>
      <c r="E1460" s="365"/>
      <c r="K1460" s="365" t="e">
        <f t="shared" ref="K1460:K1466" si="200">IF(D1460=0,"",1)</f>
        <v>#N/A</v>
      </c>
    </row>
    <row r="1461" spans="1:11" hidden="1" x14ac:dyDescent="0.25">
      <c r="A1461" s="389" t="e">
        <f>IF(D1461=0,0,A1460+1)</f>
        <v>#N/A</v>
      </c>
      <c r="B1461" s="395" t="s">
        <v>227</v>
      </c>
      <c r="C1461" s="389" t="s">
        <v>224</v>
      </c>
      <c r="D1461" s="394" t="e">
        <f>VLOOKUP($F$52,таблица,51,0)</f>
        <v>#N/A</v>
      </c>
      <c r="E1461" s="365"/>
      <c r="K1461" s="365" t="e">
        <f t="shared" si="200"/>
        <v>#N/A</v>
      </c>
    </row>
    <row r="1462" spans="1:11" hidden="1" x14ac:dyDescent="0.25">
      <c r="A1462" s="389" t="e">
        <f>IF(D1462=0,0,A1461+1)</f>
        <v>#N/A</v>
      </c>
      <c r="B1462" s="395" t="s">
        <v>274</v>
      </c>
      <c r="C1462" s="389" t="s">
        <v>224</v>
      </c>
      <c r="D1462" s="397" t="e">
        <f>SUM(D1460:D1461)</f>
        <v>#N/A</v>
      </c>
      <c r="E1462" s="391" t="e">
        <f>VLOOKUP($F$52,таблица,71,0)</f>
        <v>#N/A</v>
      </c>
      <c r="K1462" s="365" t="e">
        <f t="shared" si="200"/>
        <v>#N/A</v>
      </c>
    </row>
    <row r="1463" spans="1:11" ht="31.5" hidden="1" x14ac:dyDescent="0.25">
      <c r="A1463" s="389" t="e">
        <f>IF(D1463=0,0,IF(D1462=0,IF(D1458=0,A1454+1,A1458+1),A1462+1))</f>
        <v>#N/A</v>
      </c>
      <c r="B1463" s="395" t="s">
        <v>349</v>
      </c>
      <c r="C1463" s="389" t="s">
        <v>224</v>
      </c>
      <c r="D1463" s="394" t="e">
        <f>VLOOKUP($F$52,таблица,36,0)-VLOOKUP($F$52,таблица,41,0)+D1458</f>
        <v>#N/A</v>
      </c>
      <c r="K1463" s="365" t="e">
        <f t="shared" si="200"/>
        <v>#N/A</v>
      </c>
    </row>
    <row r="1464" spans="1:11" hidden="1" x14ac:dyDescent="0.25">
      <c r="A1464" s="389" t="e">
        <f>IF(D1464=0,0,A1463+1)</f>
        <v>#N/A</v>
      </c>
      <c r="B1464" s="395" t="s">
        <v>227</v>
      </c>
      <c r="C1464" s="389" t="s">
        <v>224</v>
      </c>
      <c r="D1464" s="394" t="e">
        <f>VLOOKUP($F$52,таблица,61,0)</f>
        <v>#N/A</v>
      </c>
      <c r="K1464" s="365" t="e">
        <f t="shared" si="200"/>
        <v>#N/A</v>
      </c>
    </row>
    <row r="1465" spans="1:11" hidden="1" x14ac:dyDescent="0.25">
      <c r="A1465" s="389" t="e">
        <f>IF(D1465=0,0,A1464+1)</f>
        <v>#N/A</v>
      </c>
      <c r="B1465" s="395" t="s">
        <v>350</v>
      </c>
      <c r="C1465" s="389" t="s">
        <v>224</v>
      </c>
      <c r="D1465" s="397" t="e">
        <f>SUM(D1463:D1464)</f>
        <v>#N/A</v>
      </c>
      <c r="E1465" s="391" t="e">
        <f>VLOOKUP($F$52,таблица,72,0)</f>
        <v>#N/A</v>
      </c>
      <c r="K1465" s="365" t="e">
        <f t="shared" si="200"/>
        <v>#N/A</v>
      </c>
    </row>
    <row r="1466" spans="1:11" hidden="1" x14ac:dyDescent="0.25">
      <c r="A1466" s="389" t="e">
        <f>IF(D1466=0,0,A1465+1)</f>
        <v>#N/A</v>
      </c>
      <c r="B1466" s="395" t="s">
        <v>226</v>
      </c>
      <c r="C1466" s="389" t="s">
        <v>224</v>
      </c>
      <c r="D1466" s="397" t="e">
        <f>IF(OR(D1462=0,D1465=0),0,D1465+D1462)</f>
        <v>#N/A</v>
      </c>
      <c r="E1466" s="391" t="e">
        <f>VLOOKUP($F$52,таблица,62,0)</f>
        <v>#N/A</v>
      </c>
      <c r="K1466" s="365" t="e">
        <f t="shared" si="200"/>
        <v>#N/A</v>
      </c>
    </row>
    <row r="1467" spans="1:11" hidden="1" x14ac:dyDescent="0.25">
      <c r="A1467" s="400"/>
      <c r="B1467" s="400"/>
      <c r="C1467" s="400"/>
      <c r="D1467" s="401"/>
      <c r="K1467" s="365" t="str">
        <f>IF($F$52=0,"",1)</f>
        <v/>
      </c>
    </row>
    <row r="1468" spans="1:11" ht="47.25" hidden="1" customHeight="1" x14ac:dyDescent="0.25">
      <c r="A1468" s="465" t="str">
        <f>'Анализ стоимости'!$I$58</f>
        <v>Начальник финансового отдела</v>
      </c>
      <c r="B1468" s="466"/>
      <c r="C1468" s="402"/>
      <c r="D1468" s="403" t="str">
        <f>'Анализ стоимости'!$I$59</f>
        <v>А.Ю.Кашуба</v>
      </c>
      <c r="H1468" s="405" t="str">
        <f>A1468</f>
        <v>Начальник финансового отдела</v>
      </c>
      <c r="K1468" s="365" t="str">
        <f>IF($F$52=0,"",1)</f>
        <v/>
      </c>
    </row>
    <row r="1469" spans="1:11" hidden="1" x14ac:dyDescent="0.25">
      <c r="A1469" s="407"/>
      <c r="B1469" s="407"/>
      <c r="C1469" s="407"/>
      <c r="D1469" s="408"/>
      <c r="K1469" s="365" t="str">
        <f>IF($F$52=0,"",1)</f>
        <v/>
      </c>
    </row>
    <row r="1470" spans="1:11" hidden="1" x14ac:dyDescent="0.25">
      <c r="A1470" s="462">
        <f ca="1">TODAY()</f>
        <v>42101</v>
      </c>
      <c r="B1470" s="462"/>
      <c r="C1470" s="371"/>
      <c r="D1470" s="371"/>
      <c r="K1470" s="365" t="str">
        <f>IF($F$52=0,"",1)</f>
        <v/>
      </c>
    </row>
    <row r="1471" spans="1:11" hidden="1" x14ac:dyDescent="0.25">
      <c r="A1471" s="463" t="s">
        <v>321</v>
      </c>
      <c r="B1471" s="463"/>
      <c r="C1471" s="463"/>
      <c r="D1471" s="463"/>
      <c r="H1471" s="369"/>
      <c r="I1471" s="369"/>
      <c r="K1471" s="365" t="str">
        <f t="shared" ref="K1471:K1488" si="201">IF($F$53=0,"",1)</f>
        <v/>
      </c>
    </row>
    <row r="1472" spans="1:11" ht="47.25" hidden="1" customHeight="1" x14ac:dyDescent="0.2">
      <c r="A1472" s="458" t="e">
        <f>CONCATENATE("Наименование объекта: ",VLOOKUP($F$53,таблица,9,0))</f>
        <v>#N/A</v>
      </c>
      <c r="B1472" s="458"/>
      <c r="C1472" s="458"/>
      <c r="D1472" s="458"/>
      <c r="J1472" s="414" t="e">
        <f>A1472</f>
        <v>#N/A</v>
      </c>
      <c r="K1472" s="365" t="str">
        <f t="shared" si="201"/>
        <v/>
      </c>
    </row>
    <row r="1473" spans="1:11" hidden="1" x14ac:dyDescent="0.25">
      <c r="A1473" s="383"/>
      <c r="B1473" s="372"/>
      <c r="C1473" s="372"/>
      <c r="D1473" s="372"/>
      <c r="K1473" s="365" t="str">
        <f t="shared" si="201"/>
        <v/>
      </c>
    </row>
    <row r="1474" spans="1:11" hidden="1" x14ac:dyDescent="0.25">
      <c r="A1474" s="415" t="s">
        <v>218</v>
      </c>
      <c r="B1474" s="378"/>
      <c r="C1474" s="378"/>
      <c r="D1474" s="378"/>
      <c r="K1474" s="365" t="str">
        <f t="shared" si="201"/>
        <v/>
      </c>
    </row>
    <row r="1475" spans="1:11" hidden="1" x14ac:dyDescent="0.25">
      <c r="A1475" s="459" t="s">
        <v>219</v>
      </c>
      <c r="B1475" s="459"/>
      <c r="C1475" s="459"/>
      <c r="D1475" s="459"/>
      <c r="K1475" s="365" t="str">
        <f t="shared" si="201"/>
        <v/>
      </c>
    </row>
    <row r="1476" spans="1:11" ht="31.5" hidden="1" x14ac:dyDescent="0.25">
      <c r="A1476" s="385" t="s">
        <v>111</v>
      </c>
      <c r="B1476" s="385" t="s">
        <v>167</v>
      </c>
      <c r="C1476" s="460" t="e">
        <f>CONCATENATE("Стоимость  согласно сметной документации (руб.) в текущих ценах по состоянию на ",VLOOKUP($F$53,таблица,5,0)," г.")</f>
        <v>#N/A</v>
      </c>
      <c r="D1476" s="461"/>
      <c r="I1476" s="386" t="e">
        <f>C1476</f>
        <v>#N/A</v>
      </c>
      <c r="K1476" s="365" t="str">
        <f t="shared" si="201"/>
        <v/>
      </c>
    </row>
    <row r="1477" spans="1:11" hidden="1" x14ac:dyDescent="0.25">
      <c r="A1477" s="389">
        <v>1</v>
      </c>
      <c r="B1477" s="390" t="s">
        <v>68</v>
      </c>
      <c r="C1477" s="455" t="e">
        <f>VLOOKUP($F$53,таблица,10,0)</f>
        <v>#N/A</v>
      </c>
      <c r="D1477" s="456"/>
      <c r="K1477" s="365" t="str">
        <f t="shared" si="201"/>
        <v/>
      </c>
    </row>
    <row r="1478" spans="1:11" hidden="1" x14ac:dyDescent="0.25">
      <c r="A1478" s="389">
        <v>2</v>
      </c>
      <c r="B1478" s="390" t="s">
        <v>58</v>
      </c>
      <c r="C1478" s="455" t="e">
        <f>VLOOKUP($F$53,таблица,11,0)</f>
        <v>#N/A</v>
      </c>
      <c r="D1478" s="456"/>
      <c r="K1478" s="365" t="str">
        <f t="shared" si="201"/>
        <v/>
      </c>
    </row>
    <row r="1479" spans="1:11" ht="31.5" hidden="1" x14ac:dyDescent="0.25">
      <c r="A1479" s="389">
        <v>3</v>
      </c>
      <c r="B1479" s="390" t="s">
        <v>8</v>
      </c>
      <c r="C1479" s="455" t="e">
        <f>VLOOKUP($F$53,таблица,12,0)</f>
        <v>#N/A</v>
      </c>
      <c r="D1479" s="456"/>
      <c r="K1479" s="365" t="str">
        <f t="shared" si="201"/>
        <v/>
      </c>
    </row>
    <row r="1480" spans="1:11" hidden="1" x14ac:dyDescent="0.25">
      <c r="A1480" s="389">
        <v>4</v>
      </c>
      <c r="B1480" s="390" t="s">
        <v>59</v>
      </c>
      <c r="C1480" s="455" t="e">
        <f>VLOOKUP($F$53,таблица,13,0)</f>
        <v>#N/A</v>
      </c>
      <c r="D1480" s="456"/>
      <c r="K1480" s="365" t="str">
        <f t="shared" si="201"/>
        <v/>
      </c>
    </row>
    <row r="1481" spans="1:11" hidden="1" x14ac:dyDescent="0.25">
      <c r="A1481" s="389">
        <v>5</v>
      </c>
      <c r="B1481" s="390" t="s">
        <v>14</v>
      </c>
      <c r="C1481" s="455" t="e">
        <f>VLOOKUP($F$53,таблица,14,0)</f>
        <v>#N/A</v>
      </c>
      <c r="D1481" s="456"/>
      <c r="K1481" s="365" t="str">
        <f t="shared" si="201"/>
        <v/>
      </c>
    </row>
    <row r="1482" spans="1:11" hidden="1" x14ac:dyDescent="0.25">
      <c r="A1482" s="389">
        <v>6</v>
      </c>
      <c r="B1482" s="390" t="s">
        <v>23</v>
      </c>
      <c r="C1482" s="455" t="e">
        <f>VLOOKUP($F$53,таблица,18,0)</f>
        <v>#N/A</v>
      </c>
      <c r="D1482" s="456"/>
      <c r="K1482" s="365" t="str">
        <f t="shared" si="201"/>
        <v/>
      </c>
    </row>
    <row r="1483" spans="1:11" hidden="1" x14ac:dyDescent="0.25">
      <c r="A1483" s="389">
        <v>7</v>
      </c>
      <c r="B1483" s="390" t="s">
        <v>156</v>
      </c>
      <c r="C1483" s="455" t="e">
        <f>VLOOKUP($F$53,таблица,19,0)+VLOOKUP($F$53,таблица,21,0)+VLOOKUP($F$53,таблица,22,0)+VLOOKUP($F$53,таблица,23,0)+VLOOKUP($F$53,таблица,24,0)+VLOOKUP($F$53,таблица,25,0)+VLOOKUP($F$53,таблица,26,0)</f>
        <v>#N/A</v>
      </c>
      <c r="D1483" s="456"/>
      <c r="K1483" s="365" t="str">
        <f t="shared" si="201"/>
        <v/>
      </c>
    </row>
    <row r="1484" spans="1:11" hidden="1" x14ac:dyDescent="0.25">
      <c r="A1484" s="389">
        <v>8</v>
      </c>
      <c r="B1484" s="390" t="s">
        <v>101</v>
      </c>
      <c r="C1484" s="455" t="e">
        <f>VLOOKUP($F$53,таблица,31,0)</f>
        <v>#N/A</v>
      </c>
      <c r="D1484" s="456"/>
      <c r="K1484" s="365" t="str">
        <f t="shared" si="201"/>
        <v/>
      </c>
    </row>
    <row r="1485" spans="1:11" hidden="1" x14ac:dyDescent="0.25">
      <c r="A1485" s="389">
        <v>9</v>
      </c>
      <c r="B1485" s="390" t="s">
        <v>241</v>
      </c>
      <c r="C1485" s="455" t="e">
        <f>SUM(C1477:D1484)</f>
        <v>#N/A</v>
      </c>
      <c r="D1485" s="456"/>
      <c r="K1485" s="365" t="str">
        <f t="shared" si="201"/>
        <v/>
      </c>
    </row>
    <row r="1486" spans="1:11" hidden="1" x14ac:dyDescent="0.25">
      <c r="A1486" s="464" t="s">
        <v>231</v>
      </c>
      <c r="B1486" s="464"/>
      <c r="C1486" s="464"/>
      <c r="D1486" s="464"/>
      <c r="K1486" s="365" t="str">
        <f t="shared" si="201"/>
        <v/>
      </c>
    </row>
    <row r="1487" spans="1:11" ht="31.5" hidden="1" x14ac:dyDescent="0.25">
      <c r="A1487" s="392" t="s">
        <v>111</v>
      </c>
      <c r="B1487" s="385" t="s">
        <v>36</v>
      </c>
      <c r="C1487" s="385" t="s">
        <v>221</v>
      </c>
      <c r="D1487" s="385" t="s">
        <v>168</v>
      </c>
      <c r="K1487" s="365" t="str">
        <f t="shared" si="201"/>
        <v/>
      </c>
    </row>
    <row r="1488" spans="1:11" hidden="1" x14ac:dyDescent="0.25">
      <c r="A1488" s="389">
        <v>10</v>
      </c>
      <c r="B1488" s="389" t="e">
        <f>VLOOKUP((VLOOKUP($F$53,таблица,8,0)),рем_содер,2,0)</f>
        <v>#N/A</v>
      </c>
      <c r="C1488" s="389"/>
      <c r="D1488" s="390"/>
      <c r="K1488" s="365" t="str">
        <f t="shared" si="201"/>
        <v/>
      </c>
    </row>
    <row r="1489" spans="1:11" hidden="1" x14ac:dyDescent="0.25">
      <c r="A1489" s="389" t="e">
        <f>IF(D1489=0,0,A1488+1)</f>
        <v>#N/A</v>
      </c>
      <c r="B1489" s="390" t="e">
        <f>CONCATENATE("2015 г. (",CHOOSE(VLOOKUP(F$53,таблица,63,0),"Январь","Февраль","Март","Апрель","Май","Июнь","Июль","Август","Сентябрь","Октябрь","Ноябрь","Декабрь")," - ",CHOOSE(VLOOKUP(F$53,таблица,64,0),"Январь","Февраль","Март","Апрель","Май","Июнь","Июль","Август","Сентябрь","Октябрь","Ноябрь","Декабрь"),")")</f>
        <v>#N/A</v>
      </c>
      <c r="C1489" s="389" t="s">
        <v>222</v>
      </c>
      <c r="D1489" s="417" t="e">
        <f>IF(D1491=0,0,VLOOKUP($F$53,таблица,69,0)*100+100)</f>
        <v>#N/A</v>
      </c>
      <c r="K1489" s="365" t="e">
        <f>IF(D1489=0,"",1)</f>
        <v>#N/A</v>
      </c>
    </row>
    <row r="1490" spans="1:11" hidden="1" x14ac:dyDescent="0.25">
      <c r="A1490" s="389" t="e">
        <f>IF(D1490=0,0,IF(D1489=0,A1488+1,A1489+1))</f>
        <v>#N/A</v>
      </c>
      <c r="B1490" s="390" t="e">
        <f>CONCATENATE("2016 г. (",CHOOSE(VLOOKUP(F$53,таблица,65,0),"Январь","Февраль","Март","Апрель","Май","Июнь","Июль","Август","Сентябрь","Октябрь","Ноябрь","Декабрь")," - ",CHOOSE(VLOOKUP(F$53,таблица,66,0),"Январь","Февраль","Март","Апрель","Май","Июнь","Июль","Август","Сентябрь","Октябрь","Ноябрь","Декабрь"),")")</f>
        <v>#N/A</v>
      </c>
      <c r="C1490" s="389" t="s">
        <v>222</v>
      </c>
      <c r="D1490" s="417" t="e">
        <f>IF(D1492=0,0,VLOOKUP($F$53,таблица,70,0)*100+100)</f>
        <v>#N/A</v>
      </c>
      <c r="K1490" s="365" t="e">
        <f t="shared" ref="K1490:K1492" si="202">IF(D1490=0,"",1)</f>
        <v>#N/A</v>
      </c>
    </row>
    <row r="1491" spans="1:11" hidden="1" x14ac:dyDescent="0.25">
      <c r="A1491" s="389" t="e">
        <f>IF(D1491=0,0,IF(D1490=0,A1489+1,A1490+1))</f>
        <v>#N/A</v>
      </c>
      <c r="B1491" s="390" t="s">
        <v>223</v>
      </c>
      <c r="C1491" s="389" t="s">
        <v>224</v>
      </c>
      <c r="D1491" s="394" t="e">
        <f>VLOOKUP($F$53,таблица,46,0)</f>
        <v>#N/A</v>
      </c>
      <c r="K1491" s="365" t="e">
        <f t="shared" si="202"/>
        <v>#N/A</v>
      </c>
    </row>
    <row r="1492" spans="1:11" hidden="1" x14ac:dyDescent="0.25">
      <c r="A1492" s="389" t="e">
        <f>IF(D1492=0,0,IF(D1491=0,A1490+1,A1491+1))</f>
        <v>#N/A</v>
      </c>
      <c r="B1492" s="390" t="s">
        <v>351</v>
      </c>
      <c r="C1492" s="389" t="s">
        <v>224</v>
      </c>
      <c r="D1492" s="394" t="e">
        <f>VLOOKUP($F$53,таблица,56,0)</f>
        <v>#N/A</v>
      </c>
      <c r="K1492" s="365" t="e">
        <f t="shared" si="202"/>
        <v>#N/A</v>
      </c>
    </row>
    <row r="1493" spans="1:11" hidden="1" x14ac:dyDescent="0.25">
      <c r="A1493" s="464" t="s">
        <v>225</v>
      </c>
      <c r="B1493" s="464"/>
      <c r="C1493" s="464"/>
      <c r="D1493" s="464"/>
      <c r="K1493" s="365" t="str">
        <f>IF($F$53=0,"",1)</f>
        <v/>
      </c>
    </row>
    <row r="1494" spans="1:11" ht="31.5" hidden="1" x14ac:dyDescent="0.25">
      <c r="A1494" s="389" t="e">
        <f>IF(D1494=0,0,IF(D1492=0,IF(D1491=0,A1488+1,A1491+1),A1492+1))</f>
        <v>#N/A</v>
      </c>
      <c r="B1494" s="395" t="s">
        <v>275</v>
      </c>
      <c r="C1494" s="389" t="s">
        <v>224</v>
      </c>
      <c r="D1494" s="394" t="e">
        <f>SUM(VLOOKUP($F$53,таблица,41,0),D1491)</f>
        <v>#N/A</v>
      </c>
      <c r="E1494" s="365"/>
      <c r="K1494" s="365" t="e">
        <f t="shared" ref="K1494:K1500" si="203">IF(D1494=0,"",1)</f>
        <v>#N/A</v>
      </c>
    </row>
    <row r="1495" spans="1:11" hidden="1" x14ac:dyDescent="0.25">
      <c r="A1495" s="389" t="e">
        <f>IF(D1495=0,0,A1494+1)</f>
        <v>#N/A</v>
      </c>
      <c r="B1495" s="395" t="s">
        <v>227</v>
      </c>
      <c r="C1495" s="389" t="s">
        <v>224</v>
      </c>
      <c r="D1495" s="394" t="e">
        <f>VLOOKUP($F$53,таблица,51,0)</f>
        <v>#N/A</v>
      </c>
      <c r="E1495" s="365"/>
      <c r="K1495" s="365" t="e">
        <f t="shared" si="203"/>
        <v>#N/A</v>
      </c>
    </row>
    <row r="1496" spans="1:11" hidden="1" x14ac:dyDescent="0.25">
      <c r="A1496" s="389" t="e">
        <f>IF(D1496=0,0,A1495+1)</f>
        <v>#N/A</v>
      </c>
      <c r="B1496" s="395" t="s">
        <v>274</v>
      </c>
      <c r="C1496" s="389" t="s">
        <v>224</v>
      </c>
      <c r="D1496" s="397" t="e">
        <f>SUM(D1494:D1495)</f>
        <v>#N/A</v>
      </c>
      <c r="E1496" s="391" t="e">
        <f>VLOOKUP($F$53,таблица,71,0)</f>
        <v>#N/A</v>
      </c>
      <c r="K1496" s="365" t="e">
        <f t="shared" si="203"/>
        <v>#N/A</v>
      </c>
    </row>
    <row r="1497" spans="1:11" ht="31.5" hidden="1" x14ac:dyDescent="0.25">
      <c r="A1497" s="389" t="e">
        <f>IF(D1497=0,0,IF(D1496=0,IF(D1492=0,A1488+1,A1492+1),A1496+1))</f>
        <v>#N/A</v>
      </c>
      <c r="B1497" s="395" t="s">
        <v>349</v>
      </c>
      <c r="C1497" s="389" t="s">
        <v>224</v>
      </c>
      <c r="D1497" s="394" t="e">
        <f>VLOOKUP($F$53,таблица,36,0)-VLOOKUP($F$53,таблица,41,0)+D1492</f>
        <v>#N/A</v>
      </c>
      <c r="K1497" s="365" t="e">
        <f t="shared" si="203"/>
        <v>#N/A</v>
      </c>
    </row>
    <row r="1498" spans="1:11" hidden="1" x14ac:dyDescent="0.25">
      <c r="A1498" s="389" t="e">
        <f>IF(D1498=0,0,A1497+1)</f>
        <v>#N/A</v>
      </c>
      <c r="B1498" s="395" t="s">
        <v>227</v>
      </c>
      <c r="C1498" s="389" t="s">
        <v>224</v>
      </c>
      <c r="D1498" s="394" t="e">
        <f>VLOOKUP($F$53,таблица,61,0)</f>
        <v>#N/A</v>
      </c>
      <c r="K1498" s="365" t="e">
        <f t="shared" si="203"/>
        <v>#N/A</v>
      </c>
    </row>
    <row r="1499" spans="1:11" hidden="1" x14ac:dyDescent="0.25">
      <c r="A1499" s="389" t="e">
        <f>IF(D1499=0,0,A1498+1)</f>
        <v>#N/A</v>
      </c>
      <c r="B1499" s="395" t="s">
        <v>350</v>
      </c>
      <c r="C1499" s="389" t="s">
        <v>224</v>
      </c>
      <c r="D1499" s="397" t="e">
        <f>SUM(D1497:D1498)</f>
        <v>#N/A</v>
      </c>
      <c r="E1499" s="391" t="e">
        <f>VLOOKUP($F$53,таблица,72,0)</f>
        <v>#N/A</v>
      </c>
      <c r="K1499" s="365" t="e">
        <f t="shared" si="203"/>
        <v>#N/A</v>
      </c>
    </row>
    <row r="1500" spans="1:11" hidden="1" x14ac:dyDescent="0.25">
      <c r="A1500" s="389" t="e">
        <f>IF(D1500=0,0,A1499+1)</f>
        <v>#N/A</v>
      </c>
      <c r="B1500" s="395" t="s">
        <v>226</v>
      </c>
      <c r="C1500" s="389" t="s">
        <v>224</v>
      </c>
      <c r="D1500" s="397" t="e">
        <f>IF(OR(D1496=0,D1499=0),0,D1499+D1496)</f>
        <v>#N/A</v>
      </c>
      <c r="E1500" s="391" t="e">
        <f>VLOOKUP($F$53,таблица,62,0)</f>
        <v>#N/A</v>
      </c>
      <c r="K1500" s="365" t="e">
        <f t="shared" si="203"/>
        <v>#N/A</v>
      </c>
    </row>
    <row r="1501" spans="1:11" hidden="1" x14ac:dyDescent="0.25">
      <c r="A1501" s="400"/>
      <c r="B1501" s="400"/>
      <c r="C1501" s="400"/>
      <c r="D1501" s="401"/>
      <c r="K1501" s="365" t="str">
        <f>IF($F$53=0,"",1)</f>
        <v/>
      </c>
    </row>
    <row r="1502" spans="1:11" ht="47.25" hidden="1" customHeight="1" x14ac:dyDescent="0.25">
      <c r="A1502" s="465" t="str">
        <f>'Анализ стоимости'!$I$58</f>
        <v>Начальник финансового отдела</v>
      </c>
      <c r="B1502" s="466"/>
      <c r="C1502" s="402"/>
      <c r="D1502" s="403" t="str">
        <f>'Анализ стоимости'!$I$59</f>
        <v>А.Ю.Кашуба</v>
      </c>
      <c r="H1502" s="405" t="str">
        <f>A1502</f>
        <v>Начальник финансового отдела</v>
      </c>
      <c r="K1502" s="365" t="str">
        <f>IF($F$53=0,"",1)</f>
        <v/>
      </c>
    </row>
    <row r="1503" spans="1:11" hidden="1" x14ac:dyDescent="0.25">
      <c r="A1503" s="407"/>
      <c r="B1503" s="407"/>
      <c r="C1503" s="407"/>
      <c r="D1503" s="408"/>
      <c r="K1503" s="365" t="str">
        <f>IF($F$53=0,"",1)</f>
        <v/>
      </c>
    </row>
    <row r="1504" spans="1:11" hidden="1" x14ac:dyDescent="0.25">
      <c r="A1504" s="462">
        <f ca="1">TODAY()</f>
        <v>42101</v>
      </c>
      <c r="B1504" s="462"/>
      <c r="C1504" s="371"/>
      <c r="D1504" s="371"/>
      <c r="K1504" s="365" t="str">
        <f>IF($F$53=0,"",1)</f>
        <v/>
      </c>
    </row>
    <row r="1505" spans="1:11" hidden="1" x14ac:dyDescent="0.25">
      <c r="A1505" s="463" t="s">
        <v>322</v>
      </c>
      <c r="B1505" s="463"/>
      <c r="C1505" s="463"/>
      <c r="D1505" s="463"/>
      <c r="H1505" s="369"/>
      <c r="I1505" s="369"/>
      <c r="K1505" s="365" t="str">
        <f t="shared" ref="K1505:K1521" si="204">IF($F$54=0,"",1)</f>
        <v/>
      </c>
    </row>
    <row r="1506" spans="1:11" ht="47.25" hidden="1" customHeight="1" x14ac:dyDescent="0.2">
      <c r="A1506" s="458" t="e">
        <f>CONCATENATE("Наименование объекта: ",VLOOKUP($F$54,таблица,9,0))</f>
        <v>#N/A</v>
      </c>
      <c r="B1506" s="458"/>
      <c r="C1506" s="458"/>
      <c r="D1506" s="458"/>
      <c r="J1506" s="414" t="e">
        <f>A1506</f>
        <v>#N/A</v>
      </c>
      <c r="K1506" s="365" t="str">
        <f t="shared" si="204"/>
        <v/>
      </c>
    </row>
    <row r="1507" spans="1:11" hidden="1" x14ac:dyDescent="0.25">
      <c r="A1507" s="383"/>
      <c r="B1507" s="372"/>
      <c r="C1507" s="372"/>
      <c r="D1507" s="372"/>
      <c r="K1507" s="365" t="str">
        <f t="shared" si="204"/>
        <v/>
      </c>
    </row>
    <row r="1508" spans="1:11" hidden="1" x14ac:dyDescent="0.25">
      <c r="A1508" s="415" t="s">
        <v>218</v>
      </c>
      <c r="B1508" s="378"/>
      <c r="C1508" s="378"/>
      <c r="D1508" s="378"/>
      <c r="K1508" s="365" t="str">
        <f t="shared" si="204"/>
        <v/>
      </c>
    </row>
    <row r="1509" spans="1:11" hidden="1" x14ac:dyDescent="0.25">
      <c r="A1509" s="459" t="s">
        <v>219</v>
      </c>
      <c r="B1509" s="459"/>
      <c r="C1509" s="459"/>
      <c r="D1509" s="459"/>
      <c r="K1509" s="365" t="str">
        <f t="shared" si="204"/>
        <v/>
      </c>
    </row>
    <row r="1510" spans="1:11" ht="31.5" hidden="1" x14ac:dyDescent="0.25">
      <c r="A1510" s="385" t="s">
        <v>111</v>
      </c>
      <c r="B1510" s="385" t="s">
        <v>167</v>
      </c>
      <c r="C1510" s="460" t="e">
        <f>CONCATENATE("Стоимость  согласно сметной документации (руб.) в текущих ценах по состоянию на ",VLOOKUP($F$54,таблица,5,0)," г.")</f>
        <v>#N/A</v>
      </c>
      <c r="D1510" s="461"/>
      <c r="I1510" s="386" t="e">
        <f>C1510</f>
        <v>#N/A</v>
      </c>
      <c r="K1510" s="365" t="str">
        <f t="shared" si="204"/>
        <v/>
      </c>
    </row>
    <row r="1511" spans="1:11" hidden="1" x14ac:dyDescent="0.25">
      <c r="A1511" s="389">
        <v>1</v>
      </c>
      <c r="B1511" s="390" t="s">
        <v>68</v>
      </c>
      <c r="C1511" s="455" t="e">
        <f>VLOOKUP($F$54,таблица,10,0)</f>
        <v>#N/A</v>
      </c>
      <c r="D1511" s="456"/>
      <c r="K1511" s="365" t="str">
        <f t="shared" si="204"/>
        <v/>
      </c>
    </row>
    <row r="1512" spans="1:11" hidden="1" x14ac:dyDescent="0.25">
      <c r="A1512" s="389">
        <v>2</v>
      </c>
      <c r="B1512" s="390" t="s">
        <v>58</v>
      </c>
      <c r="C1512" s="455" t="e">
        <f>VLOOKUP($F$54,таблица,11,0)</f>
        <v>#N/A</v>
      </c>
      <c r="D1512" s="456"/>
      <c r="K1512" s="365" t="str">
        <f t="shared" si="204"/>
        <v/>
      </c>
    </row>
    <row r="1513" spans="1:11" ht="31.5" hidden="1" x14ac:dyDescent="0.25">
      <c r="A1513" s="389">
        <v>3</v>
      </c>
      <c r="B1513" s="390" t="s">
        <v>8</v>
      </c>
      <c r="C1513" s="455" t="e">
        <f>VLOOKUP($F$54,таблица,12,0)</f>
        <v>#N/A</v>
      </c>
      <c r="D1513" s="456"/>
      <c r="K1513" s="365" t="str">
        <f t="shared" si="204"/>
        <v/>
      </c>
    </row>
    <row r="1514" spans="1:11" hidden="1" x14ac:dyDescent="0.25">
      <c r="A1514" s="389">
        <v>4</v>
      </c>
      <c r="B1514" s="390" t="s">
        <v>59</v>
      </c>
      <c r="C1514" s="455" t="e">
        <f>VLOOKUP($F$54,таблица,13,0)</f>
        <v>#N/A</v>
      </c>
      <c r="D1514" s="456"/>
      <c r="K1514" s="365" t="str">
        <f t="shared" si="204"/>
        <v/>
      </c>
    </row>
    <row r="1515" spans="1:11" hidden="1" x14ac:dyDescent="0.25">
      <c r="A1515" s="389">
        <v>5</v>
      </c>
      <c r="B1515" s="390" t="s">
        <v>14</v>
      </c>
      <c r="C1515" s="455" t="e">
        <f>VLOOKUP($F$54,таблица,14,0)</f>
        <v>#N/A</v>
      </c>
      <c r="D1515" s="456"/>
      <c r="K1515" s="365" t="str">
        <f t="shared" si="204"/>
        <v/>
      </c>
    </row>
    <row r="1516" spans="1:11" hidden="1" x14ac:dyDescent="0.25">
      <c r="A1516" s="389">
        <v>6</v>
      </c>
      <c r="B1516" s="390" t="s">
        <v>23</v>
      </c>
      <c r="C1516" s="455" t="e">
        <f>VLOOKUP($F$54,таблица,18,0)</f>
        <v>#N/A</v>
      </c>
      <c r="D1516" s="456"/>
      <c r="K1516" s="365" t="str">
        <f t="shared" si="204"/>
        <v/>
      </c>
    </row>
    <row r="1517" spans="1:11" hidden="1" x14ac:dyDescent="0.25">
      <c r="A1517" s="389">
        <v>7</v>
      </c>
      <c r="B1517" s="390" t="s">
        <v>156</v>
      </c>
      <c r="C1517" s="455" t="e">
        <f>VLOOKUP($F$54,таблица,19,0)+VLOOKUP($F$54,таблица,21,0)+VLOOKUP($F$54,таблица,22,0)+VLOOKUP($F$54,таблица,23,0)+VLOOKUP($F$54,таблица,24,0)+VLOOKUP($F$54,таблица,25,0)+VLOOKUP($F$54,таблица,26,0)</f>
        <v>#N/A</v>
      </c>
      <c r="D1517" s="456"/>
      <c r="K1517" s="365" t="str">
        <f t="shared" si="204"/>
        <v/>
      </c>
    </row>
    <row r="1518" spans="1:11" hidden="1" x14ac:dyDescent="0.25">
      <c r="A1518" s="389">
        <v>8</v>
      </c>
      <c r="B1518" s="390" t="s">
        <v>101</v>
      </c>
      <c r="C1518" s="455" t="e">
        <f>VLOOKUP($F$54,таблица,31,0)</f>
        <v>#N/A</v>
      </c>
      <c r="D1518" s="456"/>
      <c r="K1518" s="365" t="str">
        <f t="shared" si="204"/>
        <v/>
      </c>
    </row>
    <row r="1519" spans="1:11" hidden="1" x14ac:dyDescent="0.25">
      <c r="A1519" s="389">
        <v>9</v>
      </c>
      <c r="B1519" s="390" t="s">
        <v>241</v>
      </c>
      <c r="C1519" s="455" t="e">
        <f>SUM(C1511:D1518)</f>
        <v>#N/A</v>
      </c>
      <c r="D1519" s="456"/>
      <c r="K1519" s="365" t="str">
        <f t="shared" si="204"/>
        <v/>
      </c>
    </row>
    <row r="1520" spans="1:11" hidden="1" x14ac:dyDescent="0.25">
      <c r="A1520" s="464" t="s">
        <v>231</v>
      </c>
      <c r="B1520" s="464"/>
      <c r="C1520" s="464"/>
      <c r="D1520" s="464"/>
      <c r="K1520" s="365" t="str">
        <f t="shared" si="204"/>
        <v/>
      </c>
    </row>
    <row r="1521" spans="1:11" ht="31.5" hidden="1" x14ac:dyDescent="0.25">
      <c r="A1521" s="392" t="s">
        <v>111</v>
      </c>
      <c r="B1521" s="385" t="s">
        <v>36</v>
      </c>
      <c r="C1521" s="385" t="s">
        <v>221</v>
      </c>
      <c r="D1521" s="385" t="s">
        <v>168</v>
      </c>
      <c r="K1521" s="365" t="str">
        <f t="shared" si="204"/>
        <v/>
      </c>
    </row>
    <row r="1522" spans="1:11" hidden="1" x14ac:dyDescent="0.25">
      <c r="A1522" s="389">
        <v>10</v>
      </c>
      <c r="B1522" s="389" t="e">
        <f>VLOOKUP((VLOOKUP($F$54,таблица,8,0)),рем_содер,2,0)</f>
        <v>#N/A</v>
      </c>
      <c r="C1522" s="389"/>
      <c r="D1522" s="390"/>
      <c r="K1522" s="365" t="str">
        <f>IF($F$54=0,"",1)</f>
        <v/>
      </c>
    </row>
    <row r="1523" spans="1:11" hidden="1" x14ac:dyDescent="0.25">
      <c r="A1523" s="389" t="e">
        <f>IF(D1523=0,0,A1522+1)</f>
        <v>#N/A</v>
      </c>
      <c r="B1523" s="390" t="e">
        <f>CONCATENATE("2015 г. (",CHOOSE(VLOOKUP(F$54,таблица,63,0),"Январь","Февраль","Март","Апрель","Май","Июнь","Июль","Август","Сентябрь","Октябрь","Ноябрь","Декабрь")," - ",CHOOSE(VLOOKUP(F$54,таблица,64,0),"Январь","Февраль","Март","Апрель","Май","Июнь","Июль","Август","Сентябрь","Октябрь","Ноябрь","Декабрь"),")")</f>
        <v>#N/A</v>
      </c>
      <c r="C1523" s="389" t="s">
        <v>222</v>
      </c>
      <c r="D1523" s="417" t="e">
        <f>IF(D1525=0,0,VLOOKUP($F$54,таблица,69,0)*100+100)</f>
        <v>#N/A</v>
      </c>
      <c r="K1523" s="365" t="e">
        <f>IF(D1523=0,"",1)</f>
        <v>#N/A</v>
      </c>
    </row>
    <row r="1524" spans="1:11" hidden="1" x14ac:dyDescent="0.25">
      <c r="A1524" s="389" t="e">
        <f>IF(D1524=0,0,IF(D1523=0,A1522+1,A1523+1))</f>
        <v>#N/A</v>
      </c>
      <c r="B1524" s="390" t="e">
        <f>CONCATENATE("2016 г. (",CHOOSE(VLOOKUP(F$54,таблица,65,0),"Январь","Февраль","Март","Апрель","Май","Июнь","Июль","Август","Сентябрь","Октябрь","Ноябрь","Декабрь")," - ",CHOOSE(VLOOKUP(F$54,таблица,66,0),"Январь","Февраль","Март","Апрель","Май","Июнь","Июль","Август","Сентябрь","Октябрь","Ноябрь","Декабрь"),")")</f>
        <v>#N/A</v>
      </c>
      <c r="C1524" s="389" t="s">
        <v>222</v>
      </c>
      <c r="D1524" s="417" t="e">
        <f>IF(D1526=0,0,VLOOKUP($F$54,таблица,70,0)*100+100)</f>
        <v>#N/A</v>
      </c>
      <c r="K1524" s="365" t="e">
        <f t="shared" ref="K1524:K1525" si="205">IF(D1524=0,"",1)</f>
        <v>#N/A</v>
      </c>
    </row>
    <row r="1525" spans="1:11" hidden="1" x14ac:dyDescent="0.25">
      <c r="A1525" s="389" t="e">
        <f>IF(D1525=0,0,IF(D1524=0,A1523+1,A1524+1))</f>
        <v>#N/A</v>
      </c>
      <c r="B1525" s="390" t="s">
        <v>223</v>
      </c>
      <c r="C1525" s="389" t="s">
        <v>224</v>
      </c>
      <c r="D1525" s="394" t="e">
        <f>VLOOKUP($F$54,таблица,46,0)</f>
        <v>#N/A</v>
      </c>
      <c r="K1525" s="365" t="e">
        <f t="shared" si="205"/>
        <v>#N/A</v>
      </c>
    </row>
    <row r="1526" spans="1:11" hidden="1" x14ac:dyDescent="0.25">
      <c r="A1526" s="389" t="e">
        <f>IF(D1526=0,0,IF(D1525=0,A1524+1,A1525+1))</f>
        <v>#N/A</v>
      </c>
      <c r="B1526" s="390" t="s">
        <v>351</v>
      </c>
      <c r="C1526" s="389" t="s">
        <v>224</v>
      </c>
      <c r="D1526" s="394" t="e">
        <f>VLOOKUP($F$54,таблица,56,0)</f>
        <v>#N/A</v>
      </c>
      <c r="K1526" s="365" t="e">
        <f>IF(D1526=0,"",1)</f>
        <v>#N/A</v>
      </c>
    </row>
    <row r="1527" spans="1:11" hidden="1" x14ac:dyDescent="0.25">
      <c r="A1527" s="464" t="s">
        <v>225</v>
      </c>
      <c r="B1527" s="464"/>
      <c r="C1527" s="464"/>
      <c r="D1527" s="464"/>
      <c r="K1527" s="365" t="str">
        <f>IF($F$54=0,"",1)</f>
        <v/>
      </c>
    </row>
    <row r="1528" spans="1:11" ht="31.5" hidden="1" x14ac:dyDescent="0.25">
      <c r="A1528" s="389" t="e">
        <f>IF(D1528=0,0,IF(D1526=0,IF(D1525=0,A1522+1,A1525+1),A1526+1))</f>
        <v>#N/A</v>
      </c>
      <c r="B1528" s="395" t="s">
        <v>275</v>
      </c>
      <c r="C1528" s="389" t="s">
        <v>224</v>
      </c>
      <c r="D1528" s="394" t="e">
        <f>SUM(VLOOKUP($F$54,таблица,41,0),D1525)</f>
        <v>#N/A</v>
      </c>
      <c r="E1528" s="365"/>
      <c r="K1528" s="365" t="e">
        <f t="shared" ref="K1528:K1534" si="206">IF(D1528=0,"",1)</f>
        <v>#N/A</v>
      </c>
    </row>
    <row r="1529" spans="1:11" hidden="1" x14ac:dyDescent="0.25">
      <c r="A1529" s="389" t="e">
        <f>IF(D1529=0,0,A1528+1)</f>
        <v>#N/A</v>
      </c>
      <c r="B1529" s="395" t="s">
        <v>227</v>
      </c>
      <c r="C1529" s="389" t="s">
        <v>224</v>
      </c>
      <c r="D1529" s="394" t="e">
        <f>VLOOKUP($F$54,таблица,51,0)</f>
        <v>#N/A</v>
      </c>
      <c r="E1529" s="365"/>
      <c r="K1529" s="365" t="e">
        <f t="shared" si="206"/>
        <v>#N/A</v>
      </c>
    </row>
    <row r="1530" spans="1:11" hidden="1" x14ac:dyDescent="0.25">
      <c r="A1530" s="389" t="e">
        <f>IF(D1530=0,0,A1529+1)</f>
        <v>#N/A</v>
      </c>
      <c r="B1530" s="395" t="s">
        <v>274</v>
      </c>
      <c r="C1530" s="389" t="s">
        <v>224</v>
      </c>
      <c r="D1530" s="397" t="e">
        <f>SUM(D1528:D1529)</f>
        <v>#N/A</v>
      </c>
      <c r="E1530" s="391" t="e">
        <f>VLOOKUP($F$54,таблица,71,0)</f>
        <v>#N/A</v>
      </c>
      <c r="K1530" s="365" t="e">
        <f t="shared" si="206"/>
        <v>#N/A</v>
      </c>
    </row>
    <row r="1531" spans="1:11" ht="31.5" hidden="1" x14ac:dyDescent="0.25">
      <c r="A1531" s="389" t="e">
        <f>IF(D1531=0,0,IF(D1530=0,IF(D1526=0,A1522+1,A1526+1),A1530+1))</f>
        <v>#N/A</v>
      </c>
      <c r="B1531" s="395" t="s">
        <v>349</v>
      </c>
      <c r="C1531" s="389" t="s">
        <v>224</v>
      </c>
      <c r="D1531" s="394" t="e">
        <f>VLOOKUP($F$54,таблица,36,0)-VLOOKUP($F$54,таблица,41,0)+D1526</f>
        <v>#N/A</v>
      </c>
      <c r="K1531" s="365" t="e">
        <f t="shared" si="206"/>
        <v>#N/A</v>
      </c>
    </row>
    <row r="1532" spans="1:11" hidden="1" x14ac:dyDescent="0.25">
      <c r="A1532" s="389" t="e">
        <f>IF(D1532=0,0,A1531+1)</f>
        <v>#N/A</v>
      </c>
      <c r="B1532" s="395" t="s">
        <v>227</v>
      </c>
      <c r="C1532" s="389" t="s">
        <v>224</v>
      </c>
      <c r="D1532" s="394" t="e">
        <f>VLOOKUP($F$54,таблица,61,0)</f>
        <v>#N/A</v>
      </c>
      <c r="K1532" s="365" t="e">
        <f t="shared" si="206"/>
        <v>#N/A</v>
      </c>
    </row>
    <row r="1533" spans="1:11" hidden="1" x14ac:dyDescent="0.25">
      <c r="A1533" s="389" t="e">
        <f>IF(D1533=0,0,A1532+1)</f>
        <v>#N/A</v>
      </c>
      <c r="B1533" s="395" t="s">
        <v>350</v>
      </c>
      <c r="C1533" s="389" t="s">
        <v>224</v>
      </c>
      <c r="D1533" s="397" t="e">
        <f>SUM(D1531:D1532)</f>
        <v>#N/A</v>
      </c>
      <c r="E1533" s="391" t="e">
        <f>VLOOKUP($F$54,таблица,72,0)</f>
        <v>#N/A</v>
      </c>
      <c r="K1533" s="365" t="e">
        <f t="shared" si="206"/>
        <v>#N/A</v>
      </c>
    </row>
    <row r="1534" spans="1:11" hidden="1" x14ac:dyDescent="0.25">
      <c r="A1534" s="389" t="e">
        <f>IF(D1534=0,0,A1533+1)</f>
        <v>#N/A</v>
      </c>
      <c r="B1534" s="395" t="s">
        <v>226</v>
      </c>
      <c r="C1534" s="389" t="s">
        <v>224</v>
      </c>
      <c r="D1534" s="397" t="e">
        <f>IF(OR(D1530=0,D1533=0),0,D1533+D1530)</f>
        <v>#N/A</v>
      </c>
      <c r="E1534" s="391" t="e">
        <f>VLOOKUP($F$54,таблица,62,0)</f>
        <v>#N/A</v>
      </c>
      <c r="K1534" s="365" t="e">
        <f t="shared" si="206"/>
        <v>#N/A</v>
      </c>
    </row>
    <row r="1535" spans="1:11" hidden="1" x14ac:dyDescent="0.25">
      <c r="A1535" s="400"/>
      <c r="B1535" s="400"/>
      <c r="C1535" s="400"/>
      <c r="D1535" s="401"/>
      <c r="K1535" s="365" t="str">
        <f>IF($F$54=0,"",1)</f>
        <v/>
      </c>
    </row>
    <row r="1536" spans="1:11" ht="47.25" hidden="1" customHeight="1" x14ac:dyDescent="0.25">
      <c r="A1536" s="465" t="str">
        <f>'Анализ стоимости'!$I$58</f>
        <v>Начальник финансового отдела</v>
      </c>
      <c r="B1536" s="466"/>
      <c r="C1536" s="402"/>
      <c r="D1536" s="403" t="str">
        <f>'Анализ стоимости'!$I$59</f>
        <v>А.Ю.Кашуба</v>
      </c>
      <c r="H1536" s="405" t="str">
        <f>A1536</f>
        <v>Начальник финансового отдела</v>
      </c>
      <c r="K1536" s="365" t="str">
        <f>IF($F$54=0,"",1)</f>
        <v/>
      </c>
    </row>
    <row r="1537" spans="1:11" hidden="1" x14ac:dyDescent="0.25">
      <c r="A1537" s="407"/>
      <c r="B1537" s="407"/>
      <c r="C1537" s="407"/>
      <c r="D1537" s="408"/>
      <c r="K1537" s="365" t="str">
        <f>IF($F$54=0,"",1)</f>
        <v/>
      </c>
    </row>
    <row r="1538" spans="1:11" hidden="1" x14ac:dyDescent="0.25">
      <c r="A1538" s="462">
        <f ca="1">TODAY()</f>
        <v>42101</v>
      </c>
      <c r="B1538" s="462"/>
      <c r="C1538" s="371"/>
      <c r="D1538" s="371"/>
      <c r="K1538" s="365" t="str">
        <f>IF($F$54=0,"",1)</f>
        <v/>
      </c>
    </row>
    <row r="1539" spans="1:11" hidden="1" x14ac:dyDescent="0.25">
      <c r="A1539" s="463" t="s">
        <v>323</v>
      </c>
      <c r="B1539" s="463"/>
      <c r="C1539" s="463"/>
      <c r="D1539" s="463"/>
      <c r="H1539" s="369"/>
      <c r="I1539" s="369"/>
      <c r="K1539" s="365" t="str">
        <f t="shared" ref="K1539:K1556" si="207">IF($F$55=0,"",1)</f>
        <v/>
      </c>
    </row>
    <row r="1540" spans="1:11" ht="47.25" hidden="1" customHeight="1" x14ac:dyDescent="0.2">
      <c r="A1540" s="458" t="e">
        <f>CONCATENATE("Наименование объекта: ",VLOOKUP($F$55,таблица,9,0))</f>
        <v>#N/A</v>
      </c>
      <c r="B1540" s="458"/>
      <c r="C1540" s="458"/>
      <c r="D1540" s="458"/>
      <c r="J1540" s="414" t="e">
        <f>A1540</f>
        <v>#N/A</v>
      </c>
      <c r="K1540" s="365" t="str">
        <f t="shared" si="207"/>
        <v/>
      </c>
    </row>
    <row r="1541" spans="1:11" hidden="1" x14ac:dyDescent="0.25">
      <c r="A1541" s="383"/>
      <c r="B1541" s="372"/>
      <c r="C1541" s="372"/>
      <c r="D1541" s="372"/>
      <c r="K1541" s="365" t="str">
        <f t="shared" si="207"/>
        <v/>
      </c>
    </row>
    <row r="1542" spans="1:11" hidden="1" x14ac:dyDescent="0.25">
      <c r="A1542" s="415" t="s">
        <v>218</v>
      </c>
      <c r="B1542" s="378"/>
      <c r="C1542" s="378"/>
      <c r="D1542" s="378"/>
      <c r="K1542" s="365" t="str">
        <f t="shared" si="207"/>
        <v/>
      </c>
    </row>
    <row r="1543" spans="1:11" hidden="1" x14ac:dyDescent="0.25">
      <c r="A1543" s="459" t="s">
        <v>219</v>
      </c>
      <c r="B1543" s="459"/>
      <c r="C1543" s="459"/>
      <c r="D1543" s="459"/>
      <c r="K1543" s="365" t="str">
        <f t="shared" si="207"/>
        <v/>
      </c>
    </row>
    <row r="1544" spans="1:11" ht="31.5" hidden="1" x14ac:dyDescent="0.25">
      <c r="A1544" s="385" t="s">
        <v>111</v>
      </c>
      <c r="B1544" s="385" t="s">
        <v>167</v>
      </c>
      <c r="C1544" s="460" t="e">
        <f>CONCATENATE("Стоимость  согласно сметной документации (руб.) в текущих ценах по состоянию на ",VLOOKUP($F$55,таблица,5,0)," г.")</f>
        <v>#N/A</v>
      </c>
      <c r="D1544" s="461"/>
      <c r="I1544" s="386" t="e">
        <f>C1544</f>
        <v>#N/A</v>
      </c>
      <c r="K1544" s="365" t="str">
        <f t="shared" si="207"/>
        <v/>
      </c>
    </row>
    <row r="1545" spans="1:11" hidden="1" x14ac:dyDescent="0.25">
      <c r="A1545" s="389">
        <v>1</v>
      </c>
      <c r="B1545" s="390" t="s">
        <v>68</v>
      </c>
      <c r="C1545" s="455" t="e">
        <f>VLOOKUP($F$55,таблица,10,0)</f>
        <v>#N/A</v>
      </c>
      <c r="D1545" s="456"/>
      <c r="K1545" s="365" t="str">
        <f t="shared" si="207"/>
        <v/>
      </c>
    </row>
    <row r="1546" spans="1:11" hidden="1" x14ac:dyDescent="0.25">
      <c r="A1546" s="389">
        <v>2</v>
      </c>
      <c r="B1546" s="390" t="s">
        <v>58</v>
      </c>
      <c r="C1546" s="455" t="e">
        <f>VLOOKUP($F$55,таблица,11,0)</f>
        <v>#N/A</v>
      </c>
      <c r="D1546" s="456"/>
      <c r="K1546" s="365" t="str">
        <f t="shared" si="207"/>
        <v/>
      </c>
    </row>
    <row r="1547" spans="1:11" ht="31.5" hidden="1" x14ac:dyDescent="0.25">
      <c r="A1547" s="389">
        <v>3</v>
      </c>
      <c r="B1547" s="390" t="s">
        <v>8</v>
      </c>
      <c r="C1547" s="455" t="e">
        <f>VLOOKUP($F$55,таблица,12,0)</f>
        <v>#N/A</v>
      </c>
      <c r="D1547" s="456"/>
      <c r="K1547" s="365" t="str">
        <f t="shared" si="207"/>
        <v/>
      </c>
    </row>
    <row r="1548" spans="1:11" hidden="1" x14ac:dyDescent="0.25">
      <c r="A1548" s="389">
        <v>4</v>
      </c>
      <c r="B1548" s="390" t="s">
        <v>59</v>
      </c>
      <c r="C1548" s="455" t="e">
        <f>VLOOKUP($F$55,таблица,13,0)</f>
        <v>#N/A</v>
      </c>
      <c r="D1548" s="456"/>
      <c r="K1548" s="365" t="str">
        <f t="shared" si="207"/>
        <v/>
      </c>
    </row>
    <row r="1549" spans="1:11" hidden="1" x14ac:dyDescent="0.25">
      <c r="A1549" s="389">
        <v>5</v>
      </c>
      <c r="B1549" s="390" t="s">
        <v>14</v>
      </c>
      <c r="C1549" s="455" t="e">
        <f>VLOOKUP($F$55,таблица,14,0)</f>
        <v>#N/A</v>
      </c>
      <c r="D1549" s="456"/>
      <c r="K1549" s="365" t="str">
        <f t="shared" si="207"/>
        <v/>
      </c>
    </row>
    <row r="1550" spans="1:11" hidden="1" x14ac:dyDescent="0.25">
      <c r="A1550" s="389">
        <v>6</v>
      </c>
      <c r="B1550" s="390" t="s">
        <v>23</v>
      </c>
      <c r="C1550" s="455" t="e">
        <f>VLOOKUP($F$55,таблица,18,0)</f>
        <v>#N/A</v>
      </c>
      <c r="D1550" s="456"/>
      <c r="K1550" s="365" t="str">
        <f t="shared" si="207"/>
        <v/>
      </c>
    </row>
    <row r="1551" spans="1:11" hidden="1" x14ac:dyDescent="0.25">
      <c r="A1551" s="389">
        <v>7</v>
      </c>
      <c r="B1551" s="390" t="s">
        <v>156</v>
      </c>
      <c r="C1551" s="455" t="e">
        <f>VLOOKUP($F$55,таблица,19,0)+VLOOKUP($F$55,таблица,21,0)+VLOOKUP($F$55,таблица,22,0)+VLOOKUP($F$55,таблица,23,0)+VLOOKUP($F$55,таблица,24,0)+VLOOKUP($F$55,таблица,25,0)+VLOOKUP($F$55,таблица,26,0)</f>
        <v>#N/A</v>
      </c>
      <c r="D1551" s="456"/>
      <c r="K1551" s="365" t="str">
        <f t="shared" si="207"/>
        <v/>
      </c>
    </row>
    <row r="1552" spans="1:11" hidden="1" x14ac:dyDescent="0.25">
      <c r="A1552" s="389">
        <v>8</v>
      </c>
      <c r="B1552" s="390" t="s">
        <v>101</v>
      </c>
      <c r="C1552" s="455" t="e">
        <f>VLOOKUP($F$55,таблица,31,0)</f>
        <v>#N/A</v>
      </c>
      <c r="D1552" s="456"/>
      <c r="K1552" s="365" t="str">
        <f t="shared" si="207"/>
        <v/>
      </c>
    </row>
    <row r="1553" spans="1:11" hidden="1" x14ac:dyDescent="0.25">
      <c r="A1553" s="389">
        <v>9</v>
      </c>
      <c r="B1553" s="390" t="s">
        <v>241</v>
      </c>
      <c r="C1553" s="455" t="e">
        <f>SUM(C1545:D1552)</f>
        <v>#N/A</v>
      </c>
      <c r="D1553" s="456"/>
      <c r="K1553" s="365" t="str">
        <f t="shared" si="207"/>
        <v/>
      </c>
    </row>
    <row r="1554" spans="1:11" hidden="1" x14ac:dyDescent="0.25">
      <c r="A1554" s="464" t="s">
        <v>231</v>
      </c>
      <c r="B1554" s="464"/>
      <c r="C1554" s="464"/>
      <c r="D1554" s="464"/>
      <c r="K1554" s="365" t="str">
        <f t="shared" si="207"/>
        <v/>
      </c>
    </row>
    <row r="1555" spans="1:11" ht="31.5" hidden="1" x14ac:dyDescent="0.25">
      <c r="A1555" s="392" t="s">
        <v>111</v>
      </c>
      <c r="B1555" s="385" t="s">
        <v>36</v>
      </c>
      <c r="C1555" s="385" t="s">
        <v>221</v>
      </c>
      <c r="D1555" s="385" t="s">
        <v>168</v>
      </c>
      <c r="K1555" s="365" t="str">
        <f t="shared" si="207"/>
        <v/>
      </c>
    </row>
    <row r="1556" spans="1:11" hidden="1" x14ac:dyDescent="0.25">
      <c r="A1556" s="389">
        <v>10</v>
      </c>
      <c r="B1556" s="389" t="e">
        <f>VLOOKUP((VLOOKUP($F$55,таблица,8,0)),рем_содер,2,0)</f>
        <v>#N/A</v>
      </c>
      <c r="C1556" s="389"/>
      <c r="D1556" s="390"/>
      <c r="K1556" s="365" t="str">
        <f t="shared" si="207"/>
        <v/>
      </c>
    </row>
    <row r="1557" spans="1:11" hidden="1" x14ac:dyDescent="0.25">
      <c r="A1557" s="389" t="e">
        <f>IF(D1557=0,0,A1556+1)</f>
        <v>#N/A</v>
      </c>
      <c r="B1557" s="390" t="e">
        <f>CONCATENATE("2015 г. (",CHOOSE(VLOOKUP(F$55,таблица,63,0),"Январь","Февраль","Март","Апрель","Май","Июнь","Июль","Август","Сентябрь","Октябрь","Ноябрь","Декабрь")," - ",CHOOSE(VLOOKUP(F$55,таблица,64,0),"Январь","Февраль","Март","Апрель","Май","Июнь","Июль","Август","Сентябрь","Октябрь","Ноябрь","Декабрь"),")")</f>
        <v>#N/A</v>
      </c>
      <c r="C1557" s="389" t="s">
        <v>222</v>
      </c>
      <c r="D1557" s="417" t="e">
        <f>IF(D1559=0,0,VLOOKUP($F$55,таблица,69,0)*100+100)</f>
        <v>#N/A</v>
      </c>
      <c r="K1557" s="365" t="e">
        <f>IF(D1557=0,"",1)</f>
        <v>#N/A</v>
      </c>
    </row>
    <row r="1558" spans="1:11" hidden="1" x14ac:dyDescent="0.25">
      <c r="A1558" s="389" t="e">
        <f>IF(D1558=0,0,IF(D1557=0,A1556+1,A1557+1))</f>
        <v>#N/A</v>
      </c>
      <c r="B1558" s="390" t="e">
        <f>CONCATENATE("2016 г. (",CHOOSE(VLOOKUP(F$55,таблица,65,0),"Январь","Февраль","Март","Апрель","Май","Июнь","Июль","Август","Сентябрь","Октябрь","Ноябрь","Декабрь")," - ",CHOOSE(VLOOKUP(F$55,таблица,66,0),"Январь","Февраль","Март","Апрель","Май","Июнь","Июль","Август","Сентябрь","Октябрь","Ноябрь","Декабрь"),")")</f>
        <v>#N/A</v>
      </c>
      <c r="C1558" s="389" t="s">
        <v>222</v>
      </c>
      <c r="D1558" s="417" t="e">
        <f>IF(D1560=0,0,VLOOKUP($F$55,таблица,70,0)*100+100)</f>
        <v>#N/A</v>
      </c>
      <c r="K1558" s="365" t="e">
        <f t="shared" ref="K1558:K1559" si="208">IF(D1558=0,"",1)</f>
        <v>#N/A</v>
      </c>
    </row>
    <row r="1559" spans="1:11" hidden="1" x14ac:dyDescent="0.25">
      <c r="A1559" s="389" t="e">
        <f>IF(D1559=0,0,IF(D1558=0,A1557+1,A1558+1))</f>
        <v>#N/A</v>
      </c>
      <c r="B1559" s="390" t="s">
        <v>223</v>
      </c>
      <c r="C1559" s="389" t="s">
        <v>224</v>
      </c>
      <c r="D1559" s="394" t="e">
        <f>VLOOKUP($F$55,таблица,46,0)</f>
        <v>#N/A</v>
      </c>
      <c r="K1559" s="365" t="e">
        <f t="shared" si="208"/>
        <v>#N/A</v>
      </c>
    </row>
    <row r="1560" spans="1:11" hidden="1" x14ac:dyDescent="0.25">
      <c r="A1560" s="389" t="e">
        <f>IF(D1560=0,0,IF(D1559=0,A1558+1,A1559+1))</f>
        <v>#N/A</v>
      </c>
      <c r="B1560" s="390" t="s">
        <v>351</v>
      </c>
      <c r="C1560" s="389" t="s">
        <v>224</v>
      </c>
      <c r="D1560" s="394" t="e">
        <f>VLOOKUP($F$55,таблица,56,0)</f>
        <v>#N/A</v>
      </c>
      <c r="K1560" s="365" t="e">
        <f>IF(D1560=0,"",1)</f>
        <v>#N/A</v>
      </c>
    </row>
    <row r="1561" spans="1:11" hidden="1" x14ac:dyDescent="0.25">
      <c r="A1561" s="464" t="s">
        <v>225</v>
      </c>
      <c r="B1561" s="464"/>
      <c r="C1561" s="464"/>
      <c r="D1561" s="464"/>
      <c r="K1561" s="365" t="str">
        <f>IF($F$55=0,"",1)</f>
        <v/>
      </c>
    </row>
    <row r="1562" spans="1:11" ht="31.5" hidden="1" x14ac:dyDescent="0.25">
      <c r="A1562" s="389" t="e">
        <f>IF(D1562=0,0,IF(D1560=0,IF(D1559=0,A1556+1,A1559+1),A1560+1))</f>
        <v>#N/A</v>
      </c>
      <c r="B1562" s="395" t="s">
        <v>275</v>
      </c>
      <c r="C1562" s="389" t="s">
        <v>224</v>
      </c>
      <c r="D1562" s="394" t="e">
        <f>SUM(VLOOKUP($F$55,таблица,41,0),D1559)</f>
        <v>#N/A</v>
      </c>
      <c r="E1562" s="365"/>
      <c r="K1562" s="365" t="e">
        <f t="shared" ref="K1562:K1568" si="209">IF(D1562=0,"",1)</f>
        <v>#N/A</v>
      </c>
    </row>
    <row r="1563" spans="1:11" hidden="1" x14ac:dyDescent="0.25">
      <c r="A1563" s="389" t="e">
        <f>IF(D1563=0,0,A1562+1)</f>
        <v>#N/A</v>
      </c>
      <c r="B1563" s="395" t="s">
        <v>227</v>
      </c>
      <c r="C1563" s="389" t="s">
        <v>224</v>
      </c>
      <c r="D1563" s="394" t="e">
        <f>VLOOKUP($F$55,таблица,51,0)</f>
        <v>#N/A</v>
      </c>
      <c r="E1563" s="365"/>
      <c r="K1563" s="365" t="e">
        <f t="shared" si="209"/>
        <v>#N/A</v>
      </c>
    </row>
    <row r="1564" spans="1:11" hidden="1" x14ac:dyDescent="0.25">
      <c r="A1564" s="389" t="e">
        <f>IF(D1564=0,0,A1563+1)</f>
        <v>#N/A</v>
      </c>
      <c r="B1564" s="395" t="s">
        <v>274</v>
      </c>
      <c r="C1564" s="389" t="s">
        <v>224</v>
      </c>
      <c r="D1564" s="397" t="e">
        <f>SUM(D1562:D1563)</f>
        <v>#N/A</v>
      </c>
      <c r="E1564" s="391" t="e">
        <f>VLOOKUP($F$55,таблица,71,0)</f>
        <v>#N/A</v>
      </c>
      <c r="K1564" s="365" t="e">
        <f t="shared" si="209"/>
        <v>#N/A</v>
      </c>
    </row>
    <row r="1565" spans="1:11" ht="31.5" hidden="1" x14ac:dyDescent="0.25">
      <c r="A1565" s="389" t="e">
        <f>IF(D1565=0,0,IF(D1564=0,IF(D1560=0,A1556+1,A1560+1),A1564+1))</f>
        <v>#N/A</v>
      </c>
      <c r="B1565" s="395" t="s">
        <v>349</v>
      </c>
      <c r="C1565" s="389" t="s">
        <v>224</v>
      </c>
      <c r="D1565" s="394" t="e">
        <f>VLOOKUP($F$55,таблица,36,0)-VLOOKUP($F$55,таблица,41,0)+D1560</f>
        <v>#N/A</v>
      </c>
      <c r="K1565" s="365" t="e">
        <f t="shared" si="209"/>
        <v>#N/A</v>
      </c>
    </row>
    <row r="1566" spans="1:11" hidden="1" x14ac:dyDescent="0.25">
      <c r="A1566" s="389" t="e">
        <f>IF(D1566=0,0,A1565+1)</f>
        <v>#N/A</v>
      </c>
      <c r="B1566" s="395" t="s">
        <v>227</v>
      </c>
      <c r="C1566" s="389" t="s">
        <v>224</v>
      </c>
      <c r="D1566" s="394" t="e">
        <f>VLOOKUP($F$55,таблица,61,0)</f>
        <v>#N/A</v>
      </c>
      <c r="K1566" s="365" t="e">
        <f t="shared" si="209"/>
        <v>#N/A</v>
      </c>
    </row>
    <row r="1567" spans="1:11" hidden="1" x14ac:dyDescent="0.25">
      <c r="A1567" s="389" t="e">
        <f>IF(D1567=0,0,A1566+1)</f>
        <v>#N/A</v>
      </c>
      <c r="B1567" s="395" t="s">
        <v>350</v>
      </c>
      <c r="C1567" s="389" t="s">
        <v>224</v>
      </c>
      <c r="D1567" s="397" t="e">
        <f>SUM(D1565:D1566)</f>
        <v>#N/A</v>
      </c>
      <c r="E1567" s="391" t="e">
        <f>VLOOKUP($F$55,таблица,72,0)</f>
        <v>#N/A</v>
      </c>
      <c r="K1567" s="365" t="e">
        <f t="shared" si="209"/>
        <v>#N/A</v>
      </c>
    </row>
    <row r="1568" spans="1:11" hidden="1" x14ac:dyDescent="0.25">
      <c r="A1568" s="389" t="e">
        <f>IF(D1568=0,0,A1567+1)</f>
        <v>#N/A</v>
      </c>
      <c r="B1568" s="395" t="s">
        <v>226</v>
      </c>
      <c r="C1568" s="389" t="s">
        <v>224</v>
      </c>
      <c r="D1568" s="397" t="e">
        <f>IF(OR(D1564=0,D1567=0),0,D1567+D1564)</f>
        <v>#N/A</v>
      </c>
      <c r="E1568" s="391" t="e">
        <f>VLOOKUP($F$55,таблица,62,0)</f>
        <v>#N/A</v>
      </c>
      <c r="K1568" s="365" t="e">
        <f t="shared" si="209"/>
        <v>#N/A</v>
      </c>
    </row>
    <row r="1569" spans="1:11" hidden="1" x14ac:dyDescent="0.25">
      <c r="A1569" s="400"/>
      <c r="B1569" s="400"/>
      <c r="C1569" s="400"/>
      <c r="D1569" s="401"/>
      <c r="K1569" s="365" t="str">
        <f>IF($F$55=0,"",1)</f>
        <v/>
      </c>
    </row>
    <row r="1570" spans="1:11" ht="47.25" hidden="1" customHeight="1" x14ac:dyDescent="0.25">
      <c r="A1570" s="465" t="str">
        <f>'Анализ стоимости'!$I$58</f>
        <v>Начальник финансового отдела</v>
      </c>
      <c r="B1570" s="466"/>
      <c r="C1570" s="402"/>
      <c r="D1570" s="403" t="str">
        <f>'Анализ стоимости'!$I$59</f>
        <v>А.Ю.Кашуба</v>
      </c>
      <c r="H1570" s="405" t="str">
        <f>A1570</f>
        <v>Начальник финансового отдела</v>
      </c>
      <c r="K1570" s="365" t="str">
        <f>IF($F$55=0,"",1)</f>
        <v/>
      </c>
    </row>
    <row r="1571" spans="1:11" hidden="1" x14ac:dyDescent="0.25">
      <c r="A1571" s="407"/>
      <c r="B1571" s="407"/>
      <c r="C1571" s="407"/>
      <c r="D1571" s="408"/>
      <c r="K1571" s="365" t="str">
        <f>IF($F$55=0,"",1)</f>
        <v/>
      </c>
    </row>
    <row r="1572" spans="1:11" hidden="1" x14ac:dyDescent="0.25">
      <c r="A1572" s="462">
        <f ca="1">TODAY()</f>
        <v>42101</v>
      </c>
      <c r="B1572" s="462"/>
      <c r="C1572" s="371"/>
      <c r="D1572" s="371"/>
      <c r="K1572" s="365" t="str">
        <f>IF($F$55=0,"",1)</f>
        <v/>
      </c>
    </row>
    <row r="1573" spans="1:11" hidden="1" x14ac:dyDescent="0.25">
      <c r="A1573" s="463" t="s">
        <v>324</v>
      </c>
      <c r="B1573" s="463"/>
      <c r="C1573" s="463"/>
      <c r="D1573" s="463"/>
      <c r="H1573" s="369"/>
      <c r="I1573" s="369"/>
      <c r="K1573" s="365" t="str">
        <f t="shared" ref="K1573:K1590" si="210">IF($F$56=0,"",1)</f>
        <v/>
      </c>
    </row>
    <row r="1574" spans="1:11" ht="47.25" hidden="1" customHeight="1" x14ac:dyDescent="0.2">
      <c r="A1574" s="458" t="e">
        <f>CONCATENATE("Наименование объекта: ",VLOOKUP($F$56,таблица,9,0))</f>
        <v>#N/A</v>
      </c>
      <c r="B1574" s="458"/>
      <c r="C1574" s="458"/>
      <c r="D1574" s="458"/>
      <c r="J1574" s="414" t="e">
        <f>A1574</f>
        <v>#N/A</v>
      </c>
      <c r="K1574" s="365" t="str">
        <f t="shared" si="210"/>
        <v/>
      </c>
    </row>
    <row r="1575" spans="1:11" hidden="1" x14ac:dyDescent="0.25">
      <c r="A1575" s="383"/>
      <c r="B1575" s="372"/>
      <c r="C1575" s="372"/>
      <c r="D1575" s="372"/>
      <c r="K1575" s="365" t="str">
        <f t="shared" si="210"/>
        <v/>
      </c>
    </row>
    <row r="1576" spans="1:11" hidden="1" x14ac:dyDescent="0.25">
      <c r="A1576" s="415" t="s">
        <v>218</v>
      </c>
      <c r="B1576" s="378"/>
      <c r="C1576" s="378"/>
      <c r="D1576" s="378"/>
      <c r="K1576" s="365" t="str">
        <f t="shared" si="210"/>
        <v/>
      </c>
    </row>
    <row r="1577" spans="1:11" hidden="1" x14ac:dyDescent="0.25">
      <c r="A1577" s="459" t="s">
        <v>219</v>
      </c>
      <c r="B1577" s="459"/>
      <c r="C1577" s="459"/>
      <c r="D1577" s="459"/>
      <c r="K1577" s="365" t="str">
        <f t="shared" si="210"/>
        <v/>
      </c>
    </row>
    <row r="1578" spans="1:11" ht="31.5" hidden="1" x14ac:dyDescent="0.25">
      <c r="A1578" s="385" t="s">
        <v>111</v>
      </c>
      <c r="B1578" s="385" t="s">
        <v>167</v>
      </c>
      <c r="C1578" s="460" t="e">
        <f>CONCATENATE("Стоимость  согласно сметной документации (руб.) в текущих ценах по состоянию на ",VLOOKUP($F$56,таблица,5,0)," г.")</f>
        <v>#N/A</v>
      </c>
      <c r="D1578" s="461"/>
      <c r="I1578" s="386" t="e">
        <f>C1578</f>
        <v>#N/A</v>
      </c>
      <c r="K1578" s="365" t="str">
        <f t="shared" si="210"/>
        <v/>
      </c>
    </row>
    <row r="1579" spans="1:11" hidden="1" x14ac:dyDescent="0.25">
      <c r="A1579" s="389">
        <v>1</v>
      </c>
      <c r="B1579" s="390" t="s">
        <v>68</v>
      </c>
      <c r="C1579" s="455" t="e">
        <f>VLOOKUP($F$56,таблица,10,0)</f>
        <v>#N/A</v>
      </c>
      <c r="D1579" s="456"/>
      <c r="K1579" s="365" t="str">
        <f t="shared" si="210"/>
        <v/>
      </c>
    </row>
    <row r="1580" spans="1:11" hidden="1" x14ac:dyDescent="0.25">
      <c r="A1580" s="389">
        <v>2</v>
      </c>
      <c r="B1580" s="390" t="s">
        <v>58</v>
      </c>
      <c r="C1580" s="455" t="e">
        <f>VLOOKUP($F$56,таблица,11,0)</f>
        <v>#N/A</v>
      </c>
      <c r="D1580" s="456"/>
      <c r="K1580" s="365" t="str">
        <f t="shared" si="210"/>
        <v/>
      </c>
    </row>
    <row r="1581" spans="1:11" ht="31.5" hidden="1" x14ac:dyDescent="0.25">
      <c r="A1581" s="389">
        <v>3</v>
      </c>
      <c r="B1581" s="390" t="s">
        <v>8</v>
      </c>
      <c r="C1581" s="455" t="e">
        <f>VLOOKUP($F$56,таблица,12,0)</f>
        <v>#N/A</v>
      </c>
      <c r="D1581" s="456"/>
      <c r="K1581" s="365" t="str">
        <f t="shared" si="210"/>
        <v/>
      </c>
    </row>
    <row r="1582" spans="1:11" hidden="1" x14ac:dyDescent="0.25">
      <c r="A1582" s="389">
        <v>4</v>
      </c>
      <c r="B1582" s="390" t="s">
        <v>59</v>
      </c>
      <c r="C1582" s="455" t="e">
        <f>VLOOKUP($F$56,таблица,13,0)</f>
        <v>#N/A</v>
      </c>
      <c r="D1582" s="456"/>
      <c r="K1582" s="365" t="str">
        <f t="shared" si="210"/>
        <v/>
      </c>
    </row>
    <row r="1583" spans="1:11" hidden="1" x14ac:dyDescent="0.25">
      <c r="A1583" s="389">
        <v>5</v>
      </c>
      <c r="B1583" s="390" t="s">
        <v>14</v>
      </c>
      <c r="C1583" s="455" t="e">
        <f>VLOOKUP($F$56,таблица,14,0)</f>
        <v>#N/A</v>
      </c>
      <c r="D1583" s="456"/>
      <c r="K1583" s="365" t="str">
        <f t="shared" si="210"/>
        <v/>
      </c>
    </row>
    <row r="1584" spans="1:11" hidden="1" x14ac:dyDescent="0.25">
      <c r="A1584" s="389">
        <v>6</v>
      </c>
      <c r="B1584" s="390" t="s">
        <v>23</v>
      </c>
      <c r="C1584" s="455" t="e">
        <f>VLOOKUP($F$56,таблица,18,0)</f>
        <v>#N/A</v>
      </c>
      <c r="D1584" s="456"/>
      <c r="K1584" s="365" t="str">
        <f t="shared" si="210"/>
        <v/>
      </c>
    </row>
    <row r="1585" spans="1:11" hidden="1" x14ac:dyDescent="0.25">
      <c r="A1585" s="389">
        <v>7</v>
      </c>
      <c r="B1585" s="390" t="s">
        <v>156</v>
      </c>
      <c r="C1585" s="455" t="e">
        <f>VLOOKUP($F$56,таблица,19,0)+VLOOKUP($F$56,таблица,21,0)+VLOOKUP($F$56,таблица,22,0)+VLOOKUP($F$56,таблица,23,0)+VLOOKUP($F$56,таблица,24,0)+VLOOKUP($F$56,таблица,25,0)+VLOOKUP($F$56,таблица,26,0)</f>
        <v>#N/A</v>
      </c>
      <c r="D1585" s="456"/>
      <c r="K1585" s="365" t="str">
        <f t="shared" si="210"/>
        <v/>
      </c>
    </row>
    <row r="1586" spans="1:11" hidden="1" x14ac:dyDescent="0.25">
      <c r="A1586" s="389">
        <v>8</v>
      </c>
      <c r="B1586" s="390" t="s">
        <v>101</v>
      </c>
      <c r="C1586" s="455" t="e">
        <f>VLOOKUP($F$56,таблица,31,0)</f>
        <v>#N/A</v>
      </c>
      <c r="D1586" s="456"/>
      <c r="K1586" s="365" t="str">
        <f t="shared" si="210"/>
        <v/>
      </c>
    </row>
    <row r="1587" spans="1:11" hidden="1" x14ac:dyDescent="0.25">
      <c r="A1587" s="389">
        <v>9</v>
      </c>
      <c r="B1587" s="390" t="s">
        <v>241</v>
      </c>
      <c r="C1587" s="455" t="e">
        <f>SUM(C1579:D1586)</f>
        <v>#N/A</v>
      </c>
      <c r="D1587" s="456"/>
      <c r="K1587" s="365" t="str">
        <f t="shared" si="210"/>
        <v/>
      </c>
    </row>
    <row r="1588" spans="1:11" hidden="1" x14ac:dyDescent="0.25">
      <c r="A1588" s="464" t="s">
        <v>231</v>
      </c>
      <c r="B1588" s="464"/>
      <c r="C1588" s="464"/>
      <c r="D1588" s="464"/>
      <c r="K1588" s="365" t="str">
        <f t="shared" si="210"/>
        <v/>
      </c>
    </row>
    <row r="1589" spans="1:11" ht="31.5" hidden="1" x14ac:dyDescent="0.25">
      <c r="A1589" s="392" t="s">
        <v>111</v>
      </c>
      <c r="B1589" s="385" t="s">
        <v>36</v>
      </c>
      <c r="C1589" s="385" t="s">
        <v>221</v>
      </c>
      <c r="D1589" s="385" t="s">
        <v>168</v>
      </c>
      <c r="K1589" s="365" t="str">
        <f t="shared" si="210"/>
        <v/>
      </c>
    </row>
    <row r="1590" spans="1:11" hidden="1" x14ac:dyDescent="0.25">
      <c r="A1590" s="389">
        <v>10</v>
      </c>
      <c r="B1590" s="389" t="e">
        <f>VLOOKUP((VLOOKUP($F$56,таблица,8,0)),рем_содер,2,0)</f>
        <v>#N/A</v>
      </c>
      <c r="C1590" s="389"/>
      <c r="D1590" s="390"/>
      <c r="K1590" s="365" t="str">
        <f t="shared" si="210"/>
        <v/>
      </c>
    </row>
    <row r="1591" spans="1:11" hidden="1" x14ac:dyDescent="0.25">
      <c r="A1591" s="389" t="e">
        <f>IF(D1591=0,0,A1590+1)</f>
        <v>#N/A</v>
      </c>
      <c r="B1591" s="390" t="e">
        <f>CONCATENATE("2015 г. (",CHOOSE(VLOOKUP(F$56,таблица,63,0),"Январь","Февраль","Март","Апрель","Май","Июнь","Июль","Август","Сентябрь","Октябрь","Ноябрь","Декабрь")," - ",CHOOSE(VLOOKUP(F$56,таблица,64,0),"Январь","Февраль","Март","Апрель","Май","Июнь","Июль","Август","Сентябрь","Октябрь","Ноябрь","Декабрь"),")")</f>
        <v>#N/A</v>
      </c>
      <c r="C1591" s="389" t="s">
        <v>222</v>
      </c>
      <c r="D1591" s="417" t="e">
        <f>IF(D1593=0,0,VLOOKUP($F$56,таблица,69,0)*100+100)</f>
        <v>#N/A</v>
      </c>
      <c r="K1591" s="365" t="e">
        <f>IF(D1591=0,"",1)</f>
        <v>#N/A</v>
      </c>
    </row>
    <row r="1592" spans="1:11" hidden="1" x14ac:dyDescent="0.25">
      <c r="A1592" s="389" t="e">
        <f>IF(D1592=0,0,IF(D1591=0,A1590+1,A1591+1))</f>
        <v>#N/A</v>
      </c>
      <c r="B1592" s="390" t="e">
        <f>CONCATENATE("2016 г. (",CHOOSE(VLOOKUP(F$56,таблица,65,0),"Январь","Февраль","Март","Апрель","Май","Июнь","Июль","Август","Сентябрь","Октябрь","Ноябрь","Декабрь")," - ",CHOOSE(VLOOKUP(F$56,таблица,66,0),"Январь","Февраль","Март","Апрель","Май","Июнь","Июль","Август","Сентябрь","Октябрь","Ноябрь","Декабрь"),")")</f>
        <v>#N/A</v>
      </c>
      <c r="C1592" s="389" t="s">
        <v>222</v>
      </c>
      <c r="D1592" s="417" t="e">
        <f>IF(D1594=0,0,VLOOKUP($F$56,таблица,70,0)*100+100)</f>
        <v>#N/A</v>
      </c>
      <c r="K1592" s="365" t="e">
        <f t="shared" ref="K1592:K1593" si="211">IF(D1592=0,"",1)</f>
        <v>#N/A</v>
      </c>
    </row>
    <row r="1593" spans="1:11" hidden="1" x14ac:dyDescent="0.25">
      <c r="A1593" s="389" t="e">
        <f>IF(D1593=0,0,IF(D1592=0,A1591+1,A1592+1))</f>
        <v>#N/A</v>
      </c>
      <c r="B1593" s="390" t="s">
        <v>223</v>
      </c>
      <c r="C1593" s="389" t="s">
        <v>224</v>
      </c>
      <c r="D1593" s="394" t="e">
        <f>VLOOKUP($F$56,таблица,46,0)</f>
        <v>#N/A</v>
      </c>
      <c r="K1593" s="365" t="e">
        <f t="shared" si="211"/>
        <v>#N/A</v>
      </c>
    </row>
    <row r="1594" spans="1:11" hidden="1" x14ac:dyDescent="0.25">
      <c r="A1594" s="389" t="e">
        <f>IF(D1594=0,0,IF(D1593=0,A1592+1,A1593+1))</f>
        <v>#N/A</v>
      </c>
      <c r="B1594" s="390" t="s">
        <v>351</v>
      </c>
      <c r="C1594" s="389" t="s">
        <v>224</v>
      </c>
      <c r="D1594" s="394" t="e">
        <f>VLOOKUP($F$56,таблица,56,0)</f>
        <v>#N/A</v>
      </c>
      <c r="K1594" s="365" t="e">
        <f>IF(D1594=0,"",1)</f>
        <v>#N/A</v>
      </c>
    </row>
    <row r="1595" spans="1:11" hidden="1" x14ac:dyDescent="0.25">
      <c r="A1595" s="464" t="s">
        <v>225</v>
      </c>
      <c r="B1595" s="464"/>
      <c r="C1595" s="464"/>
      <c r="D1595" s="464"/>
      <c r="K1595" s="365" t="str">
        <f>IF($F$56=0,"",1)</f>
        <v/>
      </c>
    </row>
    <row r="1596" spans="1:11" ht="31.5" hidden="1" x14ac:dyDescent="0.25">
      <c r="A1596" s="389" t="e">
        <f>IF(D1596=0,0,IF(D1594=0,IF(D1593=0,A1590+1,A1593+1),A1594+1))</f>
        <v>#N/A</v>
      </c>
      <c r="B1596" s="395" t="s">
        <v>275</v>
      </c>
      <c r="C1596" s="389" t="s">
        <v>224</v>
      </c>
      <c r="D1596" s="394" t="e">
        <f>SUM(VLOOKUP($F$56,таблица,41,0),D1593)</f>
        <v>#N/A</v>
      </c>
      <c r="E1596" s="365"/>
      <c r="K1596" s="365" t="e">
        <f t="shared" ref="K1596:K1602" si="212">IF(D1596=0,"",1)</f>
        <v>#N/A</v>
      </c>
    </row>
    <row r="1597" spans="1:11" hidden="1" x14ac:dyDescent="0.25">
      <c r="A1597" s="389" t="e">
        <f>IF(D1597=0,0,A1596+1)</f>
        <v>#N/A</v>
      </c>
      <c r="B1597" s="395" t="s">
        <v>227</v>
      </c>
      <c r="C1597" s="389" t="s">
        <v>224</v>
      </c>
      <c r="D1597" s="394" t="e">
        <f>VLOOKUP($F$56,таблица,51,0)</f>
        <v>#N/A</v>
      </c>
      <c r="E1597" s="365"/>
      <c r="K1597" s="365" t="e">
        <f t="shared" si="212"/>
        <v>#N/A</v>
      </c>
    </row>
    <row r="1598" spans="1:11" hidden="1" x14ac:dyDescent="0.25">
      <c r="A1598" s="389" t="e">
        <f>IF(D1598=0,0,A1597+1)</f>
        <v>#N/A</v>
      </c>
      <c r="B1598" s="395" t="s">
        <v>274</v>
      </c>
      <c r="C1598" s="389" t="s">
        <v>224</v>
      </c>
      <c r="D1598" s="397" t="e">
        <f>SUM(D1596:D1597)</f>
        <v>#N/A</v>
      </c>
      <c r="E1598" s="391" t="e">
        <f>VLOOKUP($F$56,таблица,71,0)</f>
        <v>#N/A</v>
      </c>
      <c r="K1598" s="365" t="e">
        <f t="shared" si="212"/>
        <v>#N/A</v>
      </c>
    </row>
    <row r="1599" spans="1:11" ht="31.5" hidden="1" x14ac:dyDescent="0.25">
      <c r="A1599" s="389" t="e">
        <f>IF(D1599=0,0,IF(D1598=0,IF(D1594=0,A1590+1,A1594+1),A1598+1))</f>
        <v>#N/A</v>
      </c>
      <c r="B1599" s="395" t="s">
        <v>349</v>
      </c>
      <c r="C1599" s="389" t="s">
        <v>224</v>
      </c>
      <c r="D1599" s="394" t="e">
        <f>VLOOKUP($F$56,таблица,36,0)-VLOOKUP($F$56,таблица,41,0)+D1594</f>
        <v>#N/A</v>
      </c>
      <c r="K1599" s="365" t="e">
        <f t="shared" si="212"/>
        <v>#N/A</v>
      </c>
    </row>
    <row r="1600" spans="1:11" hidden="1" x14ac:dyDescent="0.25">
      <c r="A1600" s="389" t="e">
        <f>IF(D1600=0,0,A1599+1)</f>
        <v>#N/A</v>
      </c>
      <c r="B1600" s="395" t="s">
        <v>227</v>
      </c>
      <c r="C1600" s="389" t="s">
        <v>224</v>
      </c>
      <c r="D1600" s="394" t="e">
        <f>VLOOKUP($F$56,таблица,61,0)</f>
        <v>#N/A</v>
      </c>
      <c r="K1600" s="365" t="e">
        <f t="shared" si="212"/>
        <v>#N/A</v>
      </c>
    </row>
    <row r="1601" spans="1:11" hidden="1" x14ac:dyDescent="0.25">
      <c r="A1601" s="389" t="e">
        <f>IF(D1601=0,0,A1600+1)</f>
        <v>#N/A</v>
      </c>
      <c r="B1601" s="395" t="s">
        <v>350</v>
      </c>
      <c r="C1601" s="389" t="s">
        <v>224</v>
      </c>
      <c r="D1601" s="397" t="e">
        <f>SUM(D1599:D1600)</f>
        <v>#N/A</v>
      </c>
      <c r="E1601" s="391" t="e">
        <f>VLOOKUP($F$56,таблица,72,0)</f>
        <v>#N/A</v>
      </c>
      <c r="K1601" s="365" t="e">
        <f t="shared" si="212"/>
        <v>#N/A</v>
      </c>
    </row>
    <row r="1602" spans="1:11" hidden="1" x14ac:dyDescent="0.25">
      <c r="A1602" s="389" t="e">
        <f>IF(D1602=0,0,A1601+1)</f>
        <v>#N/A</v>
      </c>
      <c r="B1602" s="395" t="s">
        <v>226</v>
      </c>
      <c r="C1602" s="389" t="s">
        <v>224</v>
      </c>
      <c r="D1602" s="397" t="e">
        <f>IF(OR(D1598=0,D1601=0),0,D1601+D1598)</f>
        <v>#N/A</v>
      </c>
      <c r="E1602" s="391" t="e">
        <f>VLOOKUP($F$56,таблица,62,0)</f>
        <v>#N/A</v>
      </c>
      <c r="K1602" s="365" t="e">
        <f t="shared" si="212"/>
        <v>#N/A</v>
      </c>
    </row>
    <row r="1603" spans="1:11" hidden="1" x14ac:dyDescent="0.25">
      <c r="A1603" s="400"/>
      <c r="B1603" s="400"/>
      <c r="C1603" s="400"/>
      <c r="D1603" s="401"/>
      <c r="K1603" s="365" t="str">
        <f>IF($F$56=0,"",1)</f>
        <v/>
      </c>
    </row>
    <row r="1604" spans="1:11" ht="47.25" hidden="1" customHeight="1" x14ac:dyDescent="0.25">
      <c r="A1604" s="465" t="str">
        <f>'Анализ стоимости'!$I$58</f>
        <v>Начальник финансового отдела</v>
      </c>
      <c r="B1604" s="466"/>
      <c r="C1604" s="402"/>
      <c r="D1604" s="403" t="str">
        <f>'Анализ стоимости'!$I$59</f>
        <v>А.Ю.Кашуба</v>
      </c>
      <c r="H1604" s="405" t="str">
        <f>A1604</f>
        <v>Начальник финансового отдела</v>
      </c>
      <c r="K1604" s="365" t="str">
        <f>IF($F$56=0,"",1)</f>
        <v/>
      </c>
    </row>
    <row r="1605" spans="1:11" hidden="1" x14ac:dyDescent="0.25">
      <c r="A1605" s="407"/>
      <c r="B1605" s="407"/>
      <c r="C1605" s="407"/>
      <c r="D1605" s="408"/>
      <c r="K1605" s="365" t="str">
        <f>IF($F$56=0,"",1)</f>
        <v/>
      </c>
    </row>
    <row r="1606" spans="1:11" hidden="1" x14ac:dyDescent="0.25">
      <c r="A1606" s="462">
        <f ca="1">TODAY()</f>
        <v>42101</v>
      </c>
      <c r="B1606" s="462"/>
      <c r="C1606" s="371"/>
      <c r="D1606" s="371"/>
      <c r="K1606" s="365" t="str">
        <f>IF($F$56=0,"",1)</f>
        <v/>
      </c>
    </row>
    <row r="1607" spans="1:11" hidden="1" x14ac:dyDescent="0.25">
      <c r="A1607" s="463" t="s">
        <v>325</v>
      </c>
      <c r="B1607" s="463"/>
      <c r="C1607" s="463"/>
      <c r="D1607" s="463"/>
      <c r="H1607" s="369"/>
      <c r="I1607" s="369"/>
      <c r="K1607" s="365" t="str">
        <f t="shared" ref="K1607:K1624" si="213">IF($F$57=0,"",1)</f>
        <v/>
      </c>
    </row>
    <row r="1608" spans="1:11" ht="47.25" hidden="1" customHeight="1" x14ac:dyDescent="0.2">
      <c r="A1608" s="458" t="e">
        <f>CONCATENATE("Наименование объекта: ",VLOOKUP($F$57,таблица,9,0))</f>
        <v>#N/A</v>
      </c>
      <c r="B1608" s="458"/>
      <c r="C1608" s="458"/>
      <c r="D1608" s="458"/>
      <c r="J1608" s="414" t="e">
        <f>A1608</f>
        <v>#N/A</v>
      </c>
      <c r="K1608" s="365" t="str">
        <f t="shared" si="213"/>
        <v/>
      </c>
    </row>
    <row r="1609" spans="1:11" hidden="1" x14ac:dyDescent="0.25">
      <c r="A1609" s="383"/>
      <c r="B1609" s="372"/>
      <c r="C1609" s="372"/>
      <c r="D1609" s="372"/>
      <c r="K1609" s="365" t="str">
        <f t="shared" si="213"/>
        <v/>
      </c>
    </row>
    <row r="1610" spans="1:11" hidden="1" x14ac:dyDescent="0.25">
      <c r="A1610" s="415" t="s">
        <v>218</v>
      </c>
      <c r="B1610" s="378"/>
      <c r="C1610" s="378"/>
      <c r="D1610" s="378"/>
      <c r="K1610" s="365" t="str">
        <f t="shared" si="213"/>
        <v/>
      </c>
    </row>
    <row r="1611" spans="1:11" hidden="1" x14ac:dyDescent="0.25">
      <c r="A1611" s="459" t="s">
        <v>219</v>
      </c>
      <c r="B1611" s="459"/>
      <c r="C1611" s="459"/>
      <c r="D1611" s="459"/>
      <c r="K1611" s="365" t="str">
        <f t="shared" si="213"/>
        <v/>
      </c>
    </row>
    <row r="1612" spans="1:11" ht="31.5" hidden="1" x14ac:dyDescent="0.25">
      <c r="A1612" s="385" t="s">
        <v>111</v>
      </c>
      <c r="B1612" s="385" t="s">
        <v>167</v>
      </c>
      <c r="C1612" s="460" t="e">
        <f>CONCATENATE("Стоимость  согласно сметной документации (руб.) в текущих ценах по состоянию на ",VLOOKUP($F$57,таблица,5,0)," г.")</f>
        <v>#N/A</v>
      </c>
      <c r="D1612" s="461"/>
      <c r="I1612" s="386" t="e">
        <f>C1612</f>
        <v>#N/A</v>
      </c>
      <c r="K1612" s="365" t="str">
        <f t="shared" si="213"/>
        <v/>
      </c>
    </row>
    <row r="1613" spans="1:11" hidden="1" x14ac:dyDescent="0.25">
      <c r="A1613" s="389">
        <v>1</v>
      </c>
      <c r="B1613" s="390" t="s">
        <v>68</v>
      </c>
      <c r="C1613" s="455" t="e">
        <f>VLOOKUP($F$57,таблица,10,0)</f>
        <v>#N/A</v>
      </c>
      <c r="D1613" s="456"/>
      <c r="K1613" s="365" t="str">
        <f t="shared" si="213"/>
        <v/>
      </c>
    </row>
    <row r="1614" spans="1:11" hidden="1" x14ac:dyDescent="0.25">
      <c r="A1614" s="389">
        <v>2</v>
      </c>
      <c r="B1614" s="390" t="s">
        <v>58</v>
      </c>
      <c r="C1614" s="455" t="e">
        <f>VLOOKUP($F$57,таблица,11,0)</f>
        <v>#N/A</v>
      </c>
      <c r="D1614" s="456"/>
      <c r="K1614" s="365" t="str">
        <f t="shared" si="213"/>
        <v/>
      </c>
    </row>
    <row r="1615" spans="1:11" ht="31.5" hidden="1" x14ac:dyDescent="0.25">
      <c r="A1615" s="389">
        <v>3</v>
      </c>
      <c r="B1615" s="390" t="s">
        <v>8</v>
      </c>
      <c r="C1615" s="455" t="e">
        <f>VLOOKUP($F$57,таблица,12,0)</f>
        <v>#N/A</v>
      </c>
      <c r="D1615" s="456"/>
      <c r="K1615" s="365" t="str">
        <f t="shared" si="213"/>
        <v/>
      </c>
    </row>
    <row r="1616" spans="1:11" hidden="1" x14ac:dyDescent="0.25">
      <c r="A1616" s="389">
        <v>4</v>
      </c>
      <c r="B1616" s="390" t="s">
        <v>59</v>
      </c>
      <c r="C1616" s="455" t="e">
        <f>VLOOKUP($F$57,таблица,13,0)</f>
        <v>#N/A</v>
      </c>
      <c r="D1616" s="456"/>
      <c r="K1616" s="365" t="str">
        <f t="shared" si="213"/>
        <v/>
      </c>
    </row>
    <row r="1617" spans="1:11" hidden="1" x14ac:dyDescent="0.25">
      <c r="A1617" s="389">
        <v>5</v>
      </c>
      <c r="B1617" s="390" t="s">
        <v>14</v>
      </c>
      <c r="C1617" s="455" t="e">
        <f>VLOOKUP($F$57,таблица,14,0)</f>
        <v>#N/A</v>
      </c>
      <c r="D1617" s="456"/>
      <c r="K1617" s="365" t="str">
        <f t="shared" si="213"/>
        <v/>
      </c>
    </row>
    <row r="1618" spans="1:11" hidden="1" x14ac:dyDescent="0.25">
      <c r="A1618" s="389">
        <v>6</v>
      </c>
      <c r="B1618" s="390" t="s">
        <v>23</v>
      </c>
      <c r="C1618" s="455" t="e">
        <f>VLOOKUP($F$57,таблица,18,0)</f>
        <v>#N/A</v>
      </c>
      <c r="D1618" s="456"/>
      <c r="K1618" s="365" t="str">
        <f t="shared" si="213"/>
        <v/>
      </c>
    </row>
    <row r="1619" spans="1:11" hidden="1" x14ac:dyDescent="0.25">
      <c r="A1619" s="389">
        <v>7</v>
      </c>
      <c r="B1619" s="390" t="s">
        <v>156</v>
      </c>
      <c r="C1619" s="455" t="e">
        <f>VLOOKUP($F$57,таблица,19,0)+VLOOKUP($F$57,таблица,21,0)+VLOOKUP($F$57,таблица,22,0)+VLOOKUP($F$57,таблица,23,0)+VLOOKUP($F$57,таблица,24,0)+VLOOKUP($F$57,таблица,25,0)+VLOOKUP($F$57,таблица,26,0)</f>
        <v>#N/A</v>
      </c>
      <c r="D1619" s="456"/>
      <c r="K1619" s="365" t="str">
        <f t="shared" si="213"/>
        <v/>
      </c>
    </row>
    <row r="1620" spans="1:11" hidden="1" x14ac:dyDescent="0.25">
      <c r="A1620" s="389">
        <v>8</v>
      </c>
      <c r="B1620" s="390" t="s">
        <v>101</v>
      </c>
      <c r="C1620" s="455" t="e">
        <f>VLOOKUP($F$57,таблица,31,0)</f>
        <v>#N/A</v>
      </c>
      <c r="D1620" s="456"/>
      <c r="K1620" s="365" t="str">
        <f t="shared" si="213"/>
        <v/>
      </c>
    </row>
    <row r="1621" spans="1:11" hidden="1" x14ac:dyDescent="0.25">
      <c r="A1621" s="389">
        <v>9</v>
      </c>
      <c r="B1621" s="390" t="s">
        <v>241</v>
      </c>
      <c r="C1621" s="455" t="e">
        <f>SUM(C1613:D1620)</f>
        <v>#N/A</v>
      </c>
      <c r="D1621" s="456"/>
      <c r="K1621" s="365" t="str">
        <f t="shared" si="213"/>
        <v/>
      </c>
    </row>
    <row r="1622" spans="1:11" hidden="1" x14ac:dyDescent="0.25">
      <c r="A1622" s="464" t="s">
        <v>231</v>
      </c>
      <c r="B1622" s="464"/>
      <c r="C1622" s="464"/>
      <c r="D1622" s="464"/>
      <c r="K1622" s="365" t="str">
        <f t="shared" si="213"/>
        <v/>
      </c>
    </row>
    <row r="1623" spans="1:11" ht="31.5" hidden="1" x14ac:dyDescent="0.25">
      <c r="A1623" s="392" t="s">
        <v>111</v>
      </c>
      <c r="B1623" s="385" t="s">
        <v>36</v>
      </c>
      <c r="C1623" s="385" t="s">
        <v>221</v>
      </c>
      <c r="D1623" s="385" t="s">
        <v>168</v>
      </c>
      <c r="K1623" s="365" t="str">
        <f t="shared" si="213"/>
        <v/>
      </c>
    </row>
    <row r="1624" spans="1:11" hidden="1" x14ac:dyDescent="0.25">
      <c r="A1624" s="389">
        <v>10</v>
      </c>
      <c r="B1624" s="389" t="e">
        <f>VLOOKUP((VLOOKUP($F$57,таблица,8,0)),рем_содер,2,0)</f>
        <v>#N/A</v>
      </c>
      <c r="C1624" s="389"/>
      <c r="D1624" s="390"/>
      <c r="K1624" s="365" t="str">
        <f t="shared" si="213"/>
        <v/>
      </c>
    </row>
    <row r="1625" spans="1:11" hidden="1" x14ac:dyDescent="0.25">
      <c r="A1625" s="389" t="e">
        <f>IF(D1625=0,0,A1624+1)</f>
        <v>#N/A</v>
      </c>
      <c r="B1625" s="390" t="e">
        <f>CONCATENATE("2015 г. (",CHOOSE(VLOOKUP(F$57,таблица,63,0),"Январь","Февраль","Март","Апрель","Май","Июнь","Июль","Август","Сентябрь","Октябрь","Ноябрь","Декабрь")," - ",CHOOSE(VLOOKUP(F$57,таблица,64,0),"Январь","Февраль","Март","Апрель","Май","Июнь","Июль","Август","Сентябрь","Октябрь","Ноябрь","Декабрь"),")")</f>
        <v>#N/A</v>
      </c>
      <c r="C1625" s="389" t="s">
        <v>222</v>
      </c>
      <c r="D1625" s="417" t="e">
        <f>IF(D1627=0,0,VLOOKUP($F$57,таблица,69,0)*100+100)</f>
        <v>#N/A</v>
      </c>
      <c r="K1625" s="365" t="e">
        <f>IF(D1625=0,"",1)</f>
        <v>#N/A</v>
      </c>
    </row>
    <row r="1626" spans="1:11" hidden="1" x14ac:dyDescent="0.25">
      <c r="A1626" s="389" t="e">
        <f>IF(D1626=0,0,IF(D1625=0,A1624+1,A1625+1))</f>
        <v>#N/A</v>
      </c>
      <c r="B1626" s="390" t="e">
        <f>CONCATENATE("2016 г. (",CHOOSE(VLOOKUP(F$57,таблица,65,0),"Январь","Февраль","Март","Апрель","Май","Июнь","Июль","Август","Сентябрь","Октябрь","Ноябрь","Декабрь")," - ",CHOOSE(VLOOKUP(F$57,таблица,66,0),"Январь","Февраль","Март","Апрель","Май","Июнь","Июль","Август","Сентябрь","Октябрь","Ноябрь","Декабрь"),")")</f>
        <v>#N/A</v>
      </c>
      <c r="C1626" s="389" t="s">
        <v>222</v>
      </c>
      <c r="D1626" s="417" t="e">
        <f>IF(D1628=0,0,VLOOKUP($F$57,таблица,70,0)*100+100)</f>
        <v>#N/A</v>
      </c>
      <c r="K1626" s="365" t="e">
        <f t="shared" ref="K1626:K1627" si="214">IF(D1626=0,"",1)</f>
        <v>#N/A</v>
      </c>
    </row>
    <row r="1627" spans="1:11" hidden="1" x14ac:dyDescent="0.25">
      <c r="A1627" s="389" t="e">
        <f>IF(D1627=0,0,IF(D1626=0,A1625+1,A1626+1))</f>
        <v>#N/A</v>
      </c>
      <c r="B1627" s="390" t="s">
        <v>223</v>
      </c>
      <c r="C1627" s="389" t="s">
        <v>224</v>
      </c>
      <c r="D1627" s="394" t="e">
        <f>VLOOKUP($F$57,таблица,46,0)</f>
        <v>#N/A</v>
      </c>
      <c r="K1627" s="365" t="e">
        <f t="shared" si="214"/>
        <v>#N/A</v>
      </c>
    </row>
    <row r="1628" spans="1:11" hidden="1" x14ac:dyDescent="0.25">
      <c r="A1628" s="389" t="e">
        <f>IF(D1628=0,0,IF(D1627=0,A1626+1,A1627+1))</f>
        <v>#N/A</v>
      </c>
      <c r="B1628" s="390" t="s">
        <v>351</v>
      </c>
      <c r="C1628" s="389" t="s">
        <v>224</v>
      </c>
      <c r="D1628" s="394" t="e">
        <f>VLOOKUP($F$57,таблица,56,0)</f>
        <v>#N/A</v>
      </c>
      <c r="K1628" s="365" t="e">
        <f>IF(D1628=0,"",1)</f>
        <v>#N/A</v>
      </c>
    </row>
    <row r="1629" spans="1:11" hidden="1" x14ac:dyDescent="0.25">
      <c r="A1629" s="464" t="s">
        <v>225</v>
      </c>
      <c r="B1629" s="464"/>
      <c r="C1629" s="464"/>
      <c r="D1629" s="464"/>
      <c r="K1629" s="365" t="str">
        <f>IF($F$57=0,"",1)</f>
        <v/>
      </c>
    </row>
    <row r="1630" spans="1:11" ht="31.5" hidden="1" x14ac:dyDescent="0.25">
      <c r="A1630" s="389" t="e">
        <f>IF(D1630=0,0,IF(D1628=0,IF(D1627=0,A1624+1,A1627+1),A1628+1))</f>
        <v>#N/A</v>
      </c>
      <c r="B1630" s="395" t="s">
        <v>275</v>
      </c>
      <c r="C1630" s="389" t="s">
        <v>224</v>
      </c>
      <c r="D1630" s="394" t="e">
        <f>SUM(VLOOKUP($F$57,таблица,41,0),D1627)</f>
        <v>#N/A</v>
      </c>
      <c r="E1630" s="365"/>
      <c r="K1630" s="365" t="e">
        <f t="shared" ref="K1630:K1636" si="215">IF(D1630=0,"",1)</f>
        <v>#N/A</v>
      </c>
    </row>
    <row r="1631" spans="1:11" hidden="1" x14ac:dyDescent="0.25">
      <c r="A1631" s="389" t="e">
        <f>IF(D1631=0,0,A1630+1)</f>
        <v>#N/A</v>
      </c>
      <c r="B1631" s="395" t="s">
        <v>227</v>
      </c>
      <c r="C1631" s="389" t="s">
        <v>224</v>
      </c>
      <c r="D1631" s="394" t="e">
        <f>VLOOKUP($F$57,таблица,51,0)</f>
        <v>#N/A</v>
      </c>
      <c r="E1631" s="365"/>
      <c r="K1631" s="365" t="e">
        <f t="shared" si="215"/>
        <v>#N/A</v>
      </c>
    </row>
    <row r="1632" spans="1:11" hidden="1" x14ac:dyDescent="0.25">
      <c r="A1632" s="389" t="e">
        <f>IF(D1632=0,0,A1631+1)</f>
        <v>#N/A</v>
      </c>
      <c r="B1632" s="395" t="s">
        <v>274</v>
      </c>
      <c r="C1632" s="389" t="s">
        <v>224</v>
      </c>
      <c r="D1632" s="397" t="e">
        <f>SUM(D1630:D1631)</f>
        <v>#N/A</v>
      </c>
      <c r="E1632" s="391" t="e">
        <f>VLOOKUP($F$57,таблица,71,0)</f>
        <v>#N/A</v>
      </c>
      <c r="K1632" s="365" t="e">
        <f t="shared" si="215"/>
        <v>#N/A</v>
      </c>
    </row>
    <row r="1633" spans="1:11" ht="31.5" hidden="1" x14ac:dyDescent="0.25">
      <c r="A1633" s="389" t="e">
        <f>IF(D1633=0,0,IF(D1632=0,IF(D1628=0,A1624+1,A1628+1),A1632+1))</f>
        <v>#N/A</v>
      </c>
      <c r="B1633" s="395" t="s">
        <v>349</v>
      </c>
      <c r="C1633" s="389" t="s">
        <v>224</v>
      </c>
      <c r="D1633" s="394" t="e">
        <f>VLOOKUP($F$57,таблица,36,0)-VLOOKUP($F$57,таблица,41,0)+D1628</f>
        <v>#N/A</v>
      </c>
      <c r="K1633" s="365" t="e">
        <f t="shared" si="215"/>
        <v>#N/A</v>
      </c>
    </row>
    <row r="1634" spans="1:11" hidden="1" x14ac:dyDescent="0.25">
      <c r="A1634" s="389" t="e">
        <f>IF(D1634=0,0,A1633+1)</f>
        <v>#N/A</v>
      </c>
      <c r="B1634" s="395" t="s">
        <v>227</v>
      </c>
      <c r="C1634" s="389" t="s">
        <v>224</v>
      </c>
      <c r="D1634" s="394" t="e">
        <f>VLOOKUP($F$57,таблица,61,0)</f>
        <v>#N/A</v>
      </c>
      <c r="K1634" s="365" t="e">
        <f t="shared" si="215"/>
        <v>#N/A</v>
      </c>
    </row>
    <row r="1635" spans="1:11" hidden="1" x14ac:dyDescent="0.25">
      <c r="A1635" s="389" t="e">
        <f>IF(D1635=0,0,A1634+1)</f>
        <v>#N/A</v>
      </c>
      <c r="B1635" s="395" t="s">
        <v>350</v>
      </c>
      <c r="C1635" s="389" t="s">
        <v>224</v>
      </c>
      <c r="D1635" s="397" t="e">
        <f>SUM(D1633:D1634)</f>
        <v>#N/A</v>
      </c>
      <c r="E1635" s="391" t="e">
        <f>VLOOKUP($F$57,таблица,72,0)</f>
        <v>#N/A</v>
      </c>
      <c r="K1635" s="365" t="e">
        <f t="shared" si="215"/>
        <v>#N/A</v>
      </c>
    </row>
    <row r="1636" spans="1:11" hidden="1" x14ac:dyDescent="0.25">
      <c r="A1636" s="389" t="e">
        <f>IF(D1636=0,0,A1635+1)</f>
        <v>#N/A</v>
      </c>
      <c r="B1636" s="395" t="s">
        <v>226</v>
      </c>
      <c r="C1636" s="389" t="s">
        <v>224</v>
      </c>
      <c r="D1636" s="397" t="e">
        <f>IF(OR(D1632=0,D1635=0),0,D1635+D1632)</f>
        <v>#N/A</v>
      </c>
      <c r="E1636" s="391" t="e">
        <f>VLOOKUP($F$57,таблица,62,0)</f>
        <v>#N/A</v>
      </c>
      <c r="K1636" s="365" t="e">
        <f t="shared" si="215"/>
        <v>#N/A</v>
      </c>
    </row>
    <row r="1637" spans="1:11" hidden="1" x14ac:dyDescent="0.25">
      <c r="A1637" s="400"/>
      <c r="B1637" s="400"/>
      <c r="C1637" s="400"/>
      <c r="D1637" s="401"/>
      <c r="K1637" s="365" t="str">
        <f>IF($F$57=0,"",1)</f>
        <v/>
      </c>
    </row>
    <row r="1638" spans="1:11" ht="47.25" hidden="1" customHeight="1" x14ac:dyDescent="0.25">
      <c r="A1638" s="465" t="str">
        <f>'Анализ стоимости'!$I$58</f>
        <v>Начальник финансового отдела</v>
      </c>
      <c r="B1638" s="466"/>
      <c r="C1638" s="402"/>
      <c r="D1638" s="403" t="str">
        <f>'Анализ стоимости'!$I$59</f>
        <v>А.Ю.Кашуба</v>
      </c>
      <c r="H1638" s="405" t="str">
        <f>A1638</f>
        <v>Начальник финансового отдела</v>
      </c>
      <c r="K1638" s="365" t="str">
        <f>IF($F$57=0,"",1)</f>
        <v/>
      </c>
    </row>
    <row r="1639" spans="1:11" hidden="1" x14ac:dyDescent="0.25">
      <c r="A1639" s="407"/>
      <c r="B1639" s="407"/>
      <c r="C1639" s="407"/>
      <c r="D1639" s="408"/>
      <c r="K1639" s="365" t="str">
        <f>IF($F$57=0,"",1)</f>
        <v/>
      </c>
    </row>
    <row r="1640" spans="1:11" hidden="1" x14ac:dyDescent="0.25">
      <c r="A1640" s="462">
        <f ca="1">TODAY()</f>
        <v>42101</v>
      </c>
      <c r="B1640" s="462"/>
      <c r="C1640" s="371"/>
      <c r="D1640" s="371"/>
      <c r="K1640" s="365" t="str">
        <f>IF($F$57=0,"",1)</f>
        <v/>
      </c>
    </row>
    <row r="1641" spans="1:11" hidden="1" x14ac:dyDescent="0.25">
      <c r="A1641" s="463" t="s">
        <v>326</v>
      </c>
      <c r="B1641" s="463"/>
      <c r="C1641" s="463"/>
      <c r="D1641" s="463"/>
      <c r="H1641" s="369"/>
      <c r="I1641" s="369"/>
      <c r="K1641" s="365" t="str">
        <f t="shared" ref="K1641:K1658" si="216">IF($F$58=0,"",1)</f>
        <v/>
      </c>
    </row>
    <row r="1642" spans="1:11" ht="47.25" hidden="1" customHeight="1" x14ac:dyDescent="0.2">
      <c r="A1642" s="458" t="e">
        <f>CONCATENATE("Наименование объекта: ",VLOOKUP($F$58,таблица,9,0))</f>
        <v>#N/A</v>
      </c>
      <c r="B1642" s="458"/>
      <c r="C1642" s="458"/>
      <c r="D1642" s="458"/>
      <c r="J1642" s="414" t="e">
        <f>A1642</f>
        <v>#N/A</v>
      </c>
      <c r="K1642" s="365" t="str">
        <f t="shared" si="216"/>
        <v/>
      </c>
    </row>
    <row r="1643" spans="1:11" hidden="1" x14ac:dyDescent="0.25">
      <c r="A1643" s="383"/>
      <c r="B1643" s="372"/>
      <c r="C1643" s="372"/>
      <c r="D1643" s="372"/>
      <c r="K1643" s="365" t="str">
        <f t="shared" si="216"/>
        <v/>
      </c>
    </row>
    <row r="1644" spans="1:11" hidden="1" x14ac:dyDescent="0.25">
      <c r="A1644" s="415" t="s">
        <v>218</v>
      </c>
      <c r="B1644" s="378"/>
      <c r="C1644" s="378"/>
      <c r="D1644" s="378"/>
      <c r="K1644" s="365" t="str">
        <f t="shared" si="216"/>
        <v/>
      </c>
    </row>
    <row r="1645" spans="1:11" hidden="1" x14ac:dyDescent="0.25">
      <c r="A1645" s="459" t="s">
        <v>219</v>
      </c>
      <c r="B1645" s="459"/>
      <c r="C1645" s="459"/>
      <c r="D1645" s="459"/>
      <c r="K1645" s="365" t="str">
        <f t="shared" si="216"/>
        <v/>
      </c>
    </row>
    <row r="1646" spans="1:11" ht="31.5" hidden="1" x14ac:dyDescent="0.25">
      <c r="A1646" s="385" t="s">
        <v>111</v>
      </c>
      <c r="B1646" s="385" t="s">
        <v>167</v>
      </c>
      <c r="C1646" s="460" t="e">
        <f>CONCATENATE("Стоимость  согласно сметной документации (руб.) в текущих ценах по состоянию на ",VLOOKUP($F$58,таблица,5,0)," г.")</f>
        <v>#N/A</v>
      </c>
      <c r="D1646" s="461"/>
      <c r="I1646" s="386" t="e">
        <f>C1646</f>
        <v>#N/A</v>
      </c>
      <c r="K1646" s="365" t="str">
        <f t="shared" si="216"/>
        <v/>
      </c>
    </row>
    <row r="1647" spans="1:11" hidden="1" x14ac:dyDescent="0.25">
      <c r="A1647" s="389">
        <v>1</v>
      </c>
      <c r="B1647" s="390" t="s">
        <v>68</v>
      </c>
      <c r="C1647" s="455" t="e">
        <f>VLOOKUP($F$58,таблица,10,0)</f>
        <v>#N/A</v>
      </c>
      <c r="D1647" s="456"/>
      <c r="K1647" s="365" t="str">
        <f t="shared" si="216"/>
        <v/>
      </c>
    </row>
    <row r="1648" spans="1:11" hidden="1" x14ac:dyDescent="0.25">
      <c r="A1648" s="389">
        <v>2</v>
      </c>
      <c r="B1648" s="390" t="s">
        <v>58</v>
      </c>
      <c r="C1648" s="455" t="e">
        <f>VLOOKUP($F$58,таблица,11,0)</f>
        <v>#N/A</v>
      </c>
      <c r="D1648" s="456"/>
      <c r="K1648" s="365" t="str">
        <f t="shared" si="216"/>
        <v/>
      </c>
    </row>
    <row r="1649" spans="1:11" ht="31.5" hidden="1" x14ac:dyDescent="0.25">
      <c r="A1649" s="389">
        <v>3</v>
      </c>
      <c r="B1649" s="390" t="s">
        <v>8</v>
      </c>
      <c r="C1649" s="455" t="e">
        <f>VLOOKUP($F$58,таблица,12,0)</f>
        <v>#N/A</v>
      </c>
      <c r="D1649" s="456"/>
      <c r="K1649" s="365" t="str">
        <f t="shared" si="216"/>
        <v/>
      </c>
    </row>
    <row r="1650" spans="1:11" hidden="1" x14ac:dyDescent="0.25">
      <c r="A1650" s="389">
        <v>4</v>
      </c>
      <c r="B1650" s="390" t="s">
        <v>59</v>
      </c>
      <c r="C1650" s="455" t="e">
        <f>VLOOKUP($F$58,таблица,13,0)</f>
        <v>#N/A</v>
      </c>
      <c r="D1650" s="456"/>
      <c r="K1650" s="365" t="str">
        <f t="shared" si="216"/>
        <v/>
      </c>
    </row>
    <row r="1651" spans="1:11" hidden="1" x14ac:dyDescent="0.25">
      <c r="A1651" s="389">
        <v>5</v>
      </c>
      <c r="B1651" s="390" t="s">
        <v>14</v>
      </c>
      <c r="C1651" s="455" t="e">
        <f>VLOOKUP($F$58,таблица,14,0)</f>
        <v>#N/A</v>
      </c>
      <c r="D1651" s="456"/>
      <c r="K1651" s="365" t="str">
        <f t="shared" si="216"/>
        <v/>
      </c>
    </row>
    <row r="1652" spans="1:11" hidden="1" x14ac:dyDescent="0.25">
      <c r="A1652" s="389">
        <v>6</v>
      </c>
      <c r="B1652" s="390" t="s">
        <v>23</v>
      </c>
      <c r="C1652" s="455" t="e">
        <f>VLOOKUP($F$58,таблица,18,0)</f>
        <v>#N/A</v>
      </c>
      <c r="D1652" s="456"/>
      <c r="K1652" s="365" t="str">
        <f t="shared" si="216"/>
        <v/>
      </c>
    </row>
    <row r="1653" spans="1:11" hidden="1" x14ac:dyDescent="0.25">
      <c r="A1653" s="389">
        <v>7</v>
      </c>
      <c r="B1653" s="390" t="s">
        <v>156</v>
      </c>
      <c r="C1653" s="455" t="e">
        <f>VLOOKUP($F$58,таблица,19,0)+VLOOKUP($F$58,таблица,21,0)+VLOOKUP($F$58,таблица,22,0)+VLOOKUP($F$58,таблица,23,0)+VLOOKUP($F$58,таблица,24,0)+VLOOKUP($F$58,таблица,25,0)+VLOOKUP($F$58,таблица,26,0)</f>
        <v>#N/A</v>
      </c>
      <c r="D1653" s="456"/>
      <c r="K1653" s="365" t="str">
        <f t="shared" si="216"/>
        <v/>
      </c>
    </row>
    <row r="1654" spans="1:11" hidden="1" x14ac:dyDescent="0.25">
      <c r="A1654" s="389">
        <v>8</v>
      </c>
      <c r="B1654" s="390" t="s">
        <v>101</v>
      </c>
      <c r="C1654" s="455" t="e">
        <f>VLOOKUP($F$58,таблица,31,0)</f>
        <v>#N/A</v>
      </c>
      <c r="D1654" s="456"/>
      <c r="K1654" s="365" t="str">
        <f t="shared" si="216"/>
        <v/>
      </c>
    </row>
    <row r="1655" spans="1:11" hidden="1" x14ac:dyDescent="0.25">
      <c r="A1655" s="389">
        <v>9</v>
      </c>
      <c r="B1655" s="390" t="s">
        <v>241</v>
      </c>
      <c r="C1655" s="455" t="e">
        <f>SUM(C1647:D1654)</f>
        <v>#N/A</v>
      </c>
      <c r="D1655" s="456"/>
      <c r="K1655" s="365" t="str">
        <f t="shared" si="216"/>
        <v/>
      </c>
    </row>
    <row r="1656" spans="1:11" hidden="1" x14ac:dyDescent="0.25">
      <c r="A1656" s="464" t="s">
        <v>231</v>
      </c>
      <c r="B1656" s="464"/>
      <c r="C1656" s="464"/>
      <c r="D1656" s="464"/>
      <c r="K1656" s="365" t="str">
        <f t="shared" si="216"/>
        <v/>
      </c>
    </row>
    <row r="1657" spans="1:11" ht="31.5" hidden="1" x14ac:dyDescent="0.25">
      <c r="A1657" s="392" t="s">
        <v>111</v>
      </c>
      <c r="B1657" s="385" t="s">
        <v>36</v>
      </c>
      <c r="C1657" s="385" t="s">
        <v>221</v>
      </c>
      <c r="D1657" s="385" t="s">
        <v>168</v>
      </c>
      <c r="K1657" s="365" t="str">
        <f t="shared" si="216"/>
        <v/>
      </c>
    </row>
    <row r="1658" spans="1:11" hidden="1" x14ac:dyDescent="0.25">
      <c r="A1658" s="389">
        <v>10</v>
      </c>
      <c r="B1658" s="389" t="e">
        <f>VLOOKUP((VLOOKUP($F$58,таблица,8,0)),рем_содер,2,0)</f>
        <v>#N/A</v>
      </c>
      <c r="C1658" s="389"/>
      <c r="D1658" s="390"/>
      <c r="K1658" s="365" t="str">
        <f t="shared" si="216"/>
        <v/>
      </c>
    </row>
    <row r="1659" spans="1:11" hidden="1" x14ac:dyDescent="0.25">
      <c r="A1659" s="389" t="e">
        <f>IF(D1659=0,0,A1658+1)</f>
        <v>#N/A</v>
      </c>
      <c r="B1659" s="390" t="e">
        <f>CONCATENATE("2015 г. (",CHOOSE(VLOOKUP(F$58,таблица,63,0),"Январь","Февраль","Март","Апрель","Май","Июнь","Июль","Август","Сентябрь","Октябрь","Ноябрь","Декабрь")," - ",CHOOSE(VLOOKUP(F$58,таблица,64,0),"Январь","Февраль","Март","Апрель","Май","Июнь","Июль","Август","Сентябрь","Октябрь","Ноябрь","Декабрь"),")")</f>
        <v>#N/A</v>
      </c>
      <c r="C1659" s="389" t="s">
        <v>222</v>
      </c>
      <c r="D1659" s="417" t="e">
        <f>IF(D1661=0,0,VLOOKUP($F$58,таблица,69,0)*100+100)</f>
        <v>#N/A</v>
      </c>
      <c r="K1659" s="365" t="e">
        <f>IF(D1659=0,"",1)</f>
        <v>#N/A</v>
      </c>
    </row>
    <row r="1660" spans="1:11" hidden="1" x14ac:dyDescent="0.25">
      <c r="A1660" s="389" t="e">
        <f>IF(D1660=0,0,IF(D1659=0,A1658+1,A1659+1))</f>
        <v>#N/A</v>
      </c>
      <c r="B1660" s="390" t="e">
        <f>CONCATENATE("2016 г. (",CHOOSE(VLOOKUP(F$58,таблица,65,0),"Январь","Февраль","Март","Апрель","Май","Июнь","Июль","Август","Сентябрь","Октябрь","Ноябрь","Декабрь")," - ",CHOOSE(VLOOKUP(F$58,таблица,66,0),"Январь","Февраль","Март","Апрель","Май","Июнь","Июль","Август","Сентябрь","Октябрь","Ноябрь","Декабрь"),")")</f>
        <v>#N/A</v>
      </c>
      <c r="C1660" s="389" t="s">
        <v>222</v>
      </c>
      <c r="D1660" s="417" t="e">
        <f>IF(D1662=0,0,VLOOKUP($F$58,таблица,70,0)*100+100)</f>
        <v>#N/A</v>
      </c>
      <c r="K1660" s="365" t="e">
        <f t="shared" ref="K1660:K1661" si="217">IF(D1660=0,"",1)</f>
        <v>#N/A</v>
      </c>
    </row>
    <row r="1661" spans="1:11" hidden="1" x14ac:dyDescent="0.25">
      <c r="A1661" s="389" t="e">
        <f>IF(D1661=0,0,IF(D1660=0,A1659+1,A1660+1))</f>
        <v>#N/A</v>
      </c>
      <c r="B1661" s="390" t="s">
        <v>223</v>
      </c>
      <c r="C1661" s="389" t="s">
        <v>224</v>
      </c>
      <c r="D1661" s="394" t="e">
        <f>VLOOKUP($F$58,таблица,46,0)</f>
        <v>#N/A</v>
      </c>
      <c r="K1661" s="365" t="e">
        <f t="shared" si="217"/>
        <v>#N/A</v>
      </c>
    </row>
    <row r="1662" spans="1:11" hidden="1" x14ac:dyDescent="0.25">
      <c r="A1662" s="389" t="e">
        <f>IF(D1662=0,0,IF(D1661=0,A1660+1,A1661+1))</f>
        <v>#N/A</v>
      </c>
      <c r="B1662" s="390" t="s">
        <v>351</v>
      </c>
      <c r="C1662" s="389" t="s">
        <v>224</v>
      </c>
      <c r="D1662" s="394" t="e">
        <f>VLOOKUP($F$58,таблица,56,0)</f>
        <v>#N/A</v>
      </c>
      <c r="K1662" s="365" t="e">
        <f>IF(D1662=0,"",1)</f>
        <v>#N/A</v>
      </c>
    </row>
    <row r="1663" spans="1:11" hidden="1" x14ac:dyDescent="0.25">
      <c r="A1663" s="464" t="s">
        <v>225</v>
      </c>
      <c r="B1663" s="464"/>
      <c r="C1663" s="464"/>
      <c r="D1663" s="464"/>
      <c r="K1663" s="365" t="str">
        <f>IF($F$58=0,"",1)</f>
        <v/>
      </c>
    </row>
    <row r="1664" spans="1:11" ht="31.5" hidden="1" x14ac:dyDescent="0.25">
      <c r="A1664" s="389" t="e">
        <f>IF(D1664=0,0,IF(D1662=0,IF(D1661=0,A1658+1,A1661+1),A1662+1))</f>
        <v>#N/A</v>
      </c>
      <c r="B1664" s="395" t="s">
        <v>275</v>
      </c>
      <c r="C1664" s="389" t="s">
        <v>224</v>
      </c>
      <c r="D1664" s="394" t="e">
        <f>SUM(VLOOKUP($F$58,таблица,41,0),D1661)</f>
        <v>#N/A</v>
      </c>
      <c r="E1664" s="365"/>
      <c r="K1664" s="365" t="e">
        <f t="shared" ref="K1664:K1670" si="218">IF(D1664=0,"",1)</f>
        <v>#N/A</v>
      </c>
    </row>
    <row r="1665" spans="1:11" hidden="1" x14ac:dyDescent="0.25">
      <c r="A1665" s="389" t="e">
        <f>IF(D1665=0,0,A1664+1)</f>
        <v>#N/A</v>
      </c>
      <c r="B1665" s="395" t="s">
        <v>227</v>
      </c>
      <c r="C1665" s="389" t="s">
        <v>224</v>
      </c>
      <c r="D1665" s="394" t="e">
        <f>VLOOKUP($F$58,таблица,51,0)</f>
        <v>#N/A</v>
      </c>
      <c r="E1665" s="365"/>
      <c r="K1665" s="365" t="e">
        <f t="shared" si="218"/>
        <v>#N/A</v>
      </c>
    </row>
    <row r="1666" spans="1:11" hidden="1" x14ac:dyDescent="0.25">
      <c r="A1666" s="389" t="e">
        <f>IF(D1666=0,0,A1665+1)</f>
        <v>#N/A</v>
      </c>
      <c r="B1666" s="395" t="s">
        <v>274</v>
      </c>
      <c r="C1666" s="389" t="s">
        <v>224</v>
      </c>
      <c r="D1666" s="397" t="e">
        <f>SUM(D1664:D1665)</f>
        <v>#N/A</v>
      </c>
      <c r="E1666" s="391" t="e">
        <f>VLOOKUP($F$58,таблица,71,0)</f>
        <v>#N/A</v>
      </c>
      <c r="K1666" s="365" t="e">
        <f t="shared" si="218"/>
        <v>#N/A</v>
      </c>
    </row>
    <row r="1667" spans="1:11" ht="31.5" hidden="1" x14ac:dyDescent="0.25">
      <c r="A1667" s="389" t="e">
        <f>IF(D1667=0,0,IF(D1666=0,IF(D1662=0,A1658+1,A1662+1),A1666+1))</f>
        <v>#N/A</v>
      </c>
      <c r="B1667" s="395" t="s">
        <v>349</v>
      </c>
      <c r="C1667" s="389" t="s">
        <v>224</v>
      </c>
      <c r="D1667" s="394" t="e">
        <f>VLOOKUP($F$58,таблица,36,0)-VLOOKUP($F$58,таблица,41,0)+D1662</f>
        <v>#N/A</v>
      </c>
      <c r="K1667" s="365" t="e">
        <f t="shared" si="218"/>
        <v>#N/A</v>
      </c>
    </row>
    <row r="1668" spans="1:11" hidden="1" x14ac:dyDescent="0.25">
      <c r="A1668" s="389" t="e">
        <f>IF(D1668=0,0,A1667+1)</f>
        <v>#N/A</v>
      </c>
      <c r="B1668" s="395" t="s">
        <v>227</v>
      </c>
      <c r="C1668" s="389" t="s">
        <v>224</v>
      </c>
      <c r="D1668" s="394" t="e">
        <f>VLOOKUP($F$58,таблица,61,0)</f>
        <v>#N/A</v>
      </c>
      <c r="K1668" s="365" t="e">
        <f t="shared" si="218"/>
        <v>#N/A</v>
      </c>
    </row>
    <row r="1669" spans="1:11" hidden="1" x14ac:dyDescent="0.25">
      <c r="A1669" s="389" t="e">
        <f>IF(D1669=0,0,A1668+1)</f>
        <v>#N/A</v>
      </c>
      <c r="B1669" s="395" t="s">
        <v>350</v>
      </c>
      <c r="C1669" s="389" t="s">
        <v>224</v>
      </c>
      <c r="D1669" s="397" t="e">
        <f>SUM(D1667:D1668)</f>
        <v>#N/A</v>
      </c>
      <c r="E1669" s="391" t="e">
        <f>VLOOKUP($F$58,таблица,72,0)</f>
        <v>#N/A</v>
      </c>
      <c r="K1669" s="365" t="e">
        <f t="shared" si="218"/>
        <v>#N/A</v>
      </c>
    </row>
    <row r="1670" spans="1:11" hidden="1" x14ac:dyDescent="0.25">
      <c r="A1670" s="389" t="e">
        <f>IF(D1670=0,0,A1669+1)</f>
        <v>#N/A</v>
      </c>
      <c r="B1670" s="395" t="s">
        <v>226</v>
      </c>
      <c r="C1670" s="389" t="s">
        <v>224</v>
      </c>
      <c r="D1670" s="397" t="e">
        <f>IF(OR(D1666=0,D1669=0),0,D1669+D1666)</f>
        <v>#N/A</v>
      </c>
      <c r="E1670" s="391" t="e">
        <f>VLOOKUP($F$58,таблица,62,0)</f>
        <v>#N/A</v>
      </c>
      <c r="K1670" s="365" t="e">
        <f t="shared" si="218"/>
        <v>#N/A</v>
      </c>
    </row>
    <row r="1671" spans="1:11" hidden="1" x14ac:dyDescent="0.25">
      <c r="A1671" s="400"/>
      <c r="B1671" s="400"/>
      <c r="C1671" s="400"/>
      <c r="D1671" s="401"/>
      <c r="K1671" s="365" t="str">
        <f>IF($F$58=0,"",1)</f>
        <v/>
      </c>
    </row>
    <row r="1672" spans="1:11" ht="47.25" hidden="1" customHeight="1" x14ac:dyDescent="0.25">
      <c r="A1672" s="465" t="str">
        <f>'Анализ стоимости'!$I$58</f>
        <v>Начальник финансового отдела</v>
      </c>
      <c r="B1672" s="466"/>
      <c r="C1672" s="402"/>
      <c r="D1672" s="403" t="str">
        <f>'Анализ стоимости'!$I$59</f>
        <v>А.Ю.Кашуба</v>
      </c>
      <c r="H1672" s="405" t="str">
        <f>A1672</f>
        <v>Начальник финансового отдела</v>
      </c>
      <c r="K1672" s="365" t="str">
        <f>IF($F$58=0,"",1)</f>
        <v/>
      </c>
    </row>
    <row r="1673" spans="1:11" hidden="1" x14ac:dyDescent="0.25">
      <c r="A1673" s="407"/>
      <c r="B1673" s="407"/>
      <c r="C1673" s="407"/>
      <c r="D1673" s="408"/>
      <c r="K1673" s="365" t="str">
        <f>IF($F$58=0,"",1)</f>
        <v/>
      </c>
    </row>
    <row r="1674" spans="1:11" hidden="1" x14ac:dyDescent="0.25">
      <c r="A1674" s="462">
        <f ca="1">TODAY()</f>
        <v>42101</v>
      </c>
      <c r="B1674" s="462"/>
      <c r="C1674" s="371"/>
      <c r="D1674" s="371"/>
      <c r="K1674" s="365" t="str">
        <f>IF($F$58=0,"",1)</f>
        <v/>
      </c>
    </row>
  </sheetData>
  <sheetProtection password="CAE6" sheet="1" objects="1" scenarios="1" formatColumns="0" formatRows="0" autoFilter="0"/>
  <autoFilter ref="K1:K1674">
    <filterColumn colId="0">
      <filters>
        <filter val="1"/>
      </filters>
    </filterColumn>
  </autoFilter>
  <mergeCells count="836">
    <mergeCell ref="C3:D3"/>
    <mergeCell ref="A1663:D1663"/>
    <mergeCell ref="A1672:B1672"/>
    <mergeCell ref="A1674:B1674"/>
    <mergeCell ref="C1648:D1648"/>
    <mergeCell ref="C1649:D1649"/>
    <mergeCell ref="C1650:D1650"/>
    <mergeCell ref="C1651:D1651"/>
    <mergeCell ref="C1652:D1652"/>
    <mergeCell ref="C1653:D1653"/>
    <mergeCell ref="C1654:D1654"/>
    <mergeCell ref="C1655:D1655"/>
    <mergeCell ref="A1656:D1656"/>
    <mergeCell ref="A1622:D1622"/>
    <mergeCell ref="A1629:D1629"/>
    <mergeCell ref="A1638:B1638"/>
    <mergeCell ref="A1640:B1640"/>
    <mergeCell ref="A1641:D1641"/>
    <mergeCell ref="A1642:D1642"/>
    <mergeCell ref="A1645:D1645"/>
    <mergeCell ref="C1646:D1646"/>
    <mergeCell ref="C1647:D1647"/>
    <mergeCell ref="C1613:D1613"/>
    <mergeCell ref="C1614:D1614"/>
    <mergeCell ref="C1615:D1615"/>
    <mergeCell ref="C1616:D1616"/>
    <mergeCell ref="C1617:D1617"/>
    <mergeCell ref="C1618:D1618"/>
    <mergeCell ref="C1619:D1619"/>
    <mergeCell ref="C1620:D1620"/>
    <mergeCell ref="C1621:D1621"/>
    <mergeCell ref="C1587:D1587"/>
    <mergeCell ref="A1588:D1588"/>
    <mergeCell ref="A1595:D1595"/>
    <mergeCell ref="A1604:B1604"/>
    <mergeCell ref="A1606:B1606"/>
    <mergeCell ref="A1607:D1607"/>
    <mergeCell ref="A1608:D1608"/>
    <mergeCell ref="A1611:D1611"/>
    <mergeCell ref="C1612:D1612"/>
    <mergeCell ref="C1578:D1578"/>
    <mergeCell ref="C1579:D1579"/>
    <mergeCell ref="C1580:D1580"/>
    <mergeCell ref="C1581:D1581"/>
    <mergeCell ref="C1582:D1582"/>
    <mergeCell ref="C1583:D1583"/>
    <mergeCell ref="C1584:D1584"/>
    <mergeCell ref="C1585:D1585"/>
    <mergeCell ref="C1586:D1586"/>
    <mergeCell ref="C1552:D1552"/>
    <mergeCell ref="C1553:D1553"/>
    <mergeCell ref="A1554:D1554"/>
    <mergeCell ref="A1561:D1561"/>
    <mergeCell ref="A1570:B1570"/>
    <mergeCell ref="A1572:B1572"/>
    <mergeCell ref="A1573:D1573"/>
    <mergeCell ref="A1574:D1574"/>
    <mergeCell ref="A1577:D1577"/>
    <mergeCell ref="A1543:D1543"/>
    <mergeCell ref="C1544:D1544"/>
    <mergeCell ref="C1545:D1545"/>
    <mergeCell ref="C1546:D1546"/>
    <mergeCell ref="C1547:D1547"/>
    <mergeCell ref="C1548:D1548"/>
    <mergeCell ref="C1549:D1549"/>
    <mergeCell ref="C1550:D1550"/>
    <mergeCell ref="C1551:D1551"/>
    <mergeCell ref="C1517:D1517"/>
    <mergeCell ref="C1518:D1518"/>
    <mergeCell ref="C1519:D1519"/>
    <mergeCell ref="A1520:D1520"/>
    <mergeCell ref="A1527:D1527"/>
    <mergeCell ref="A1536:B1536"/>
    <mergeCell ref="A1538:B1538"/>
    <mergeCell ref="A1539:D1539"/>
    <mergeCell ref="A1540:D1540"/>
    <mergeCell ref="A1506:D1506"/>
    <mergeCell ref="A1509:D1509"/>
    <mergeCell ref="C1510:D1510"/>
    <mergeCell ref="C1511:D1511"/>
    <mergeCell ref="C1512:D1512"/>
    <mergeCell ref="C1513:D1513"/>
    <mergeCell ref="C1514:D1514"/>
    <mergeCell ref="C1515:D1515"/>
    <mergeCell ref="C1516:D1516"/>
    <mergeCell ref="C1482:D1482"/>
    <mergeCell ref="C1483:D1483"/>
    <mergeCell ref="C1484:D1484"/>
    <mergeCell ref="C1485:D1485"/>
    <mergeCell ref="A1486:D1486"/>
    <mergeCell ref="A1493:D1493"/>
    <mergeCell ref="A1502:B1502"/>
    <mergeCell ref="A1504:B1504"/>
    <mergeCell ref="A1505:D1505"/>
    <mergeCell ref="A1471:D1471"/>
    <mergeCell ref="A1472:D1472"/>
    <mergeCell ref="A1475:D1475"/>
    <mergeCell ref="C1476:D1476"/>
    <mergeCell ref="C1477:D1477"/>
    <mergeCell ref="C1478:D1478"/>
    <mergeCell ref="C1479:D1479"/>
    <mergeCell ref="C1480:D1480"/>
    <mergeCell ref="C1481:D1481"/>
    <mergeCell ref="C1447:D1447"/>
    <mergeCell ref="C1448:D1448"/>
    <mergeCell ref="C1449:D1449"/>
    <mergeCell ref="C1450:D1450"/>
    <mergeCell ref="C1451:D1451"/>
    <mergeCell ref="A1452:D1452"/>
    <mergeCell ref="A1459:D1459"/>
    <mergeCell ref="A1468:B1468"/>
    <mergeCell ref="A1470:B1470"/>
    <mergeCell ref="A1436:B1436"/>
    <mergeCell ref="A1437:D1437"/>
    <mergeCell ref="A1438:D1438"/>
    <mergeCell ref="A1441:D1441"/>
    <mergeCell ref="C1442:D1442"/>
    <mergeCell ref="C1443:D1443"/>
    <mergeCell ref="C1444:D1444"/>
    <mergeCell ref="C1445:D1445"/>
    <mergeCell ref="C1446:D1446"/>
    <mergeCell ref="C1412:D1412"/>
    <mergeCell ref="C1413:D1413"/>
    <mergeCell ref="C1414:D1414"/>
    <mergeCell ref="C1415:D1415"/>
    <mergeCell ref="C1416:D1416"/>
    <mergeCell ref="C1417:D1417"/>
    <mergeCell ref="A1418:D1418"/>
    <mergeCell ref="A1425:D1425"/>
    <mergeCell ref="A1434:B1434"/>
    <mergeCell ref="A1400:B1400"/>
    <mergeCell ref="A1402:B1402"/>
    <mergeCell ref="A1403:D1403"/>
    <mergeCell ref="A1404:D1404"/>
    <mergeCell ref="A1407:D1407"/>
    <mergeCell ref="C1408:D1408"/>
    <mergeCell ref="C1409:D1409"/>
    <mergeCell ref="C1410:D1410"/>
    <mergeCell ref="C1411:D1411"/>
    <mergeCell ref="C1377:D1377"/>
    <mergeCell ref="C1378:D1378"/>
    <mergeCell ref="C1379:D1379"/>
    <mergeCell ref="C1380:D1380"/>
    <mergeCell ref="C1381:D1381"/>
    <mergeCell ref="C1382:D1382"/>
    <mergeCell ref="C1383:D1383"/>
    <mergeCell ref="A1384:D1384"/>
    <mergeCell ref="A1391:D1391"/>
    <mergeCell ref="A1357:D1357"/>
    <mergeCell ref="A1366:B1366"/>
    <mergeCell ref="A1368:B1368"/>
    <mergeCell ref="A1369:D1369"/>
    <mergeCell ref="A1370:D1370"/>
    <mergeCell ref="A1373:D1373"/>
    <mergeCell ref="C1374:D1374"/>
    <mergeCell ref="C1375:D1375"/>
    <mergeCell ref="C1376:D1376"/>
    <mergeCell ref="C1342:D1342"/>
    <mergeCell ref="C1343:D1343"/>
    <mergeCell ref="C1344:D1344"/>
    <mergeCell ref="C1345:D1345"/>
    <mergeCell ref="C1346:D1346"/>
    <mergeCell ref="C1347:D1347"/>
    <mergeCell ref="C1348:D1348"/>
    <mergeCell ref="C1349:D1349"/>
    <mergeCell ref="A1350:D1350"/>
    <mergeCell ref="A1316:D1316"/>
    <mergeCell ref="A1323:D1323"/>
    <mergeCell ref="A1332:B1332"/>
    <mergeCell ref="A1334:B1334"/>
    <mergeCell ref="A1335:D1335"/>
    <mergeCell ref="A1336:D1336"/>
    <mergeCell ref="A1339:D1339"/>
    <mergeCell ref="C1340:D1340"/>
    <mergeCell ref="C1341:D1341"/>
    <mergeCell ref="C1307:D1307"/>
    <mergeCell ref="C1308:D1308"/>
    <mergeCell ref="C1309:D1309"/>
    <mergeCell ref="C1310:D1310"/>
    <mergeCell ref="C1311:D1311"/>
    <mergeCell ref="C1312:D1312"/>
    <mergeCell ref="C1313:D1313"/>
    <mergeCell ref="C1314:D1314"/>
    <mergeCell ref="C1315:D1315"/>
    <mergeCell ref="C1281:D1281"/>
    <mergeCell ref="A1282:D1282"/>
    <mergeCell ref="A1289:D1289"/>
    <mergeCell ref="A1298:B1298"/>
    <mergeCell ref="A1300:B1300"/>
    <mergeCell ref="A1301:D1301"/>
    <mergeCell ref="A1302:D1302"/>
    <mergeCell ref="A1305:D1305"/>
    <mergeCell ref="C1306:D1306"/>
    <mergeCell ref="C1272:D1272"/>
    <mergeCell ref="C1273:D1273"/>
    <mergeCell ref="C1274:D1274"/>
    <mergeCell ref="C1275:D1275"/>
    <mergeCell ref="C1276:D1276"/>
    <mergeCell ref="C1277:D1277"/>
    <mergeCell ref="C1278:D1278"/>
    <mergeCell ref="C1279:D1279"/>
    <mergeCell ref="C1280:D1280"/>
    <mergeCell ref="C1246:D1246"/>
    <mergeCell ref="C1247:D1247"/>
    <mergeCell ref="A1248:D1248"/>
    <mergeCell ref="A1255:D1255"/>
    <mergeCell ref="A1264:B1264"/>
    <mergeCell ref="A1266:B1266"/>
    <mergeCell ref="A1267:D1267"/>
    <mergeCell ref="A1268:D1268"/>
    <mergeCell ref="A1271:D1271"/>
    <mergeCell ref="A1237:D1237"/>
    <mergeCell ref="C1238:D1238"/>
    <mergeCell ref="C1239:D1239"/>
    <mergeCell ref="C1240:D1240"/>
    <mergeCell ref="C1241:D1241"/>
    <mergeCell ref="C1242:D1242"/>
    <mergeCell ref="C1243:D1243"/>
    <mergeCell ref="C1244:D1244"/>
    <mergeCell ref="C1245:D1245"/>
    <mergeCell ref="C1211:D1211"/>
    <mergeCell ref="C1212:D1212"/>
    <mergeCell ref="C1213:D1213"/>
    <mergeCell ref="A1214:D1214"/>
    <mergeCell ref="A1221:D1221"/>
    <mergeCell ref="A1230:B1230"/>
    <mergeCell ref="A1232:B1232"/>
    <mergeCell ref="A1233:D1233"/>
    <mergeCell ref="A1234:D1234"/>
    <mergeCell ref="A1200:D1200"/>
    <mergeCell ref="A1203:D1203"/>
    <mergeCell ref="C1204:D1204"/>
    <mergeCell ref="C1205:D1205"/>
    <mergeCell ref="C1206:D1206"/>
    <mergeCell ref="C1207:D1207"/>
    <mergeCell ref="C1208:D1208"/>
    <mergeCell ref="C1209:D1209"/>
    <mergeCell ref="C1210:D1210"/>
    <mergeCell ref="C1176:D1176"/>
    <mergeCell ref="C1177:D1177"/>
    <mergeCell ref="C1178:D1178"/>
    <mergeCell ref="C1179:D1179"/>
    <mergeCell ref="A1180:D1180"/>
    <mergeCell ref="A1187:D1187"/>
    <mergeCell ref="A1196:B1196"/>
    <mergeCell ref="A1198:B1198"/>
    <mergeCell ref="A1199:D1199"/>
    <mergeCell ref="A1165:D1165"/>
    <mergeCell ref="A1166:D1166"/>
    <mergeCell ref="A1169:D1169"/>
    <mergeCell ref="C1170:D1170"/>
    <mergeCell ref="C1171:D1171"/>
    <mergeCell ref="C1172:D1172"/>
    <mergeCell ref="C1173:D1173"/>
    <mergeCell ref="C1174:D1174"/>
    <mergeCell ref="C1175:D1175"/>
    <mergeCell ref="C1141:D1141"/>
    <mergeCell ref="C1142:D1142"/>
    <mergeCell ref="C1143:D1143"/>
    <mergeCell ref="C1144:D1144"/>
    <mergeCell ref="C1145:D1145"/>
    <mergeCell ref="A1146:D1146"/>
    <mergeCell ref="A1153:D1153"/>
    <mergeCell ref="A1162:B1162"/>
    <mergeCell ref="A1164:B1164"/>
    <mergeCell ref="A1130:B1130"/>
    <mergeCell ref="A1131:D1131"/>
    <mergeCell ref="A1132:D1132"/>
    <mergeCell ref="A1135:D1135"/>
    <mergeCell ref="C1136:D1136"/>
    <mergeCell ref="C1137:D1137"/>
    <mergeCell ref="C1138:D1138"/>
    <mergeCell ref="C1139:D1139"/>
    <mergeCell ref="C1140:D1140"/>
    <mergeCell ref="C1106:D1106"/>
    <mergeCell ref="C1107:D1107"/>
    <mergeCell ref="C1108:D1108"/>
    <mergeCell ref="C1109:D1109"/>
    <mergeCell ref="C1110:D1110"/>
    <mergeCell ref="C1111:D1111"/>
    <mergeCell ref="A1112:D1112"/>
    <mergeCell ref="A1119:D1119"/>
    <mergeCell ref="A1128:B1128"/>
    <mergeCell ref="A1094:B1094"/>
    <mergeCell ref="A1096:B1096"/>
    <mergeCell ref="A1097:D1097"/>
    <mergeCell ref="A1098:D1098"/>
    <mergeCell ref="A1101:D1101"/>
    <mergeCell ref="C1102:D1102"/>
    <mergeCell ref="C1103:D1103"/>
    <mergeCell ref="C1104:D1104"/>
    <mergeCell ref="C1105:D1105"/>
    <mergeCell ref="C1071:D1071"/>
    <mergeCell ref="C1072:D1072"/>
    <mergeCell ref="C1073:D1073"/>
    <mergeCell ref="C1074:D1074"/>
    <mergeCell ref="C1075:D1075"/>
    <mergeCell ref="C1076:D1076"/>
    <mergeCell ref="C1077:D1077"/>
    <mergeCell ref="A1078:D1078"/>
    <mergeCell ref="A1085:D1085"/>
    <mergeCell ref="A1051:D1051"/>
    <mergeCell ref="A1060:B1060"/>
    <mergeCell ref="A1062:B1062"/>
    <mergeCell ref="A1063:D1063"/>
    <mergeCell ref="A1064:D1064"/>
    <mergeCell ref="A1067:D1067"/>
    <mergeCell ref="C1068:D1068"/>
    <mergeCell ref="C1069:D1069"/>
    <mergeCell ref="C1070:D1070"/>
    <mergeCell ref="C1036:D1036"/>
    <mergeCell ref="C1037:D1037"/>
    <mergeCell ref="C1038:D1038"/>
    <mergeCell ref="C1039:D1039"/>
    <mergeCell ref="C1040:D1040"/>
    <mergeCell ref="C1041:D1041"/>
    <mergeCell ref="C1042:D1042"/>
    <mergeCell ref="C1043:D1043"/>
    <mergeCell ref="A1044:D1044"/>
    <mergeCell ref="A1010:D1010"/>
    <mergeCell ref="A1017:D1017"/>
    <mergeCell ref="A1026:B1026"/>
    <mergeCell ref="A1028:B1028"/>
    <mergeCell ref="A1029:D1029"/>
    <mergeCell ref="A1030:D1030"/>
    <mergeCell ref="A1033:D1033"/>
    <mergeCell ref="C1034:D1034"/>
    <mergeCell ref="C1035:D1035"/>
    <mergeCell ref="C1001:D1001"/>
    <mergeCell ref="C1002:D1002"/>
    <mergeCell ref="C1003:D1003"/>
    <mergeCell ref="C1004:D1004"/>
    <mergeCell ref="C1005:D1005"/>
    <mergeCell ref="C1006:D1006"/>
    <mergeCell ref="C1007:D1007"/>
    <mergeCell ref="C1008:D1008"/>
    <mergeCell ref="C1009:D1009"/>
    <mergeCell ref="C975:D975"/>
    <mergeCell ref="A976:D976"/>
    <mergeCell ref="A983:D983"/>
    <mergeCell ref="A992:B992"/>
    <mergeCell ref="A994:B994"/>
    <mergeCell ref="A995:D995"/>
    <mergeCell ref="A996:D996"/>
    <mergeCell ref="A999:D999"/>
    <mergeCell ref="C1000:D1000"/>
    <mergeCell ref="C966:D966"/>
    <mergeCell ref="C967:D967"/>
    <mergeCell ref="C968:D968"/>
    <mergeCell ref="C969:D969"/>
    <mergeCell ref="C970:D970"/>
    <mergeCell ref="C971:D971"/>
    <mergeCell ref="C972:D972"/>
    <mergeCell ref="C973:D973"/>
    <mergeCell ref="C974:D974"/>
    <mergeCell ref="C940:D940"/>
    <mergeCell ref="C941:D941"/>
    <mergeCell ref="A942:D942"/>
    <mergeCell ref="A949:D949"/>
    <mergeCell ref="A958:B958"/>
    <mergeCell ref="A960:B960"/>
    <mergeCell ref="A961:D961"/>
    <mergeCell ref="A962:D962"/>
    <mergeCell ref="A965:D965"/>
    <mergeCell ref="A931:D931"/>
    <mergeCell ref="C932:D932"/>
    <mergeCell ref="C933:D933"/>
    <mergeCell ref="C934:D934"/>
    <mergeCell ref="C935:D935"/>
    <mergeCell ref="C936:D936"/>
    <mergeCell ref="C937:D937"/>
    <mergeCell ref="C938:D938"/>
    <mergeCell ref="C939:D939"/>
    <mergeCell ref="C905:D905"/>
    <mergeCell ref="C906:D906"/>
    <mergeCell ref="C907:D907"/>
    <mergeCell ref="A908:D908"/>
    <mergeCell ref="A915:D915"/>
    <mergeCell ref="A924:B924"/>
    <mergeCell ref="A926:B926"/>
    <mergeCell ref="A927:D927"/>
    <mergeCell ref="A928:D928"/>
    <mergeCell ref="A894:D894"/>
    <mergeCell ref="A897:D897"/>
    <mergeCell ref="C898:D898"/>
    <mergeCell ref="C899:D899"/>
    <mergeCell ref="C900:D900"/>
    <mergeCell ref="C901:D901"/>
    <mergeCell ref="C902:D902"/>
    <mergeCell ref="C903:D903"/>
    <mergeCell ref="C904:D904"/>
    <mergeCell ref="C870:D870"/>
    <mergeCell ref="C871:D871"/>
    <mergeCell ref="C872:D872"/>
    <mergeCell ref="C873:D873"/>
    <mergeCell ref="A874:D874"/>
    <mergeCell ref="A881:D881"/>
    <mergeCell ref="A890:B890"/>
    <mergeCell ref="A892:B892"/>
    <mergeCell ref="A893:D893"/>
    <mergeCell ref="A859:D859"/>
    <mergeCell ref="A860:D860"/>
    <mergeCell ref="A863:D863"/>
    <mergeCell ref="C864:D864"/>
    <mergeCell ref="C865:D865"/>
    <mergeCell ref="C866:D866"/>
    <mergeCell ref="C867:D867"/>
    <mergeCell ref="C868:D868"/>
    <mergeCell ref="C869:D869"/>
    <mergeCell ref="A847:D847"/>
    <mergeCell ref="A856:B856"/>
    <mergeCell ref="A858:B858"/>
    <mergeCell ref="C835:D835"/>
    <mergeCell ref="C836:D836"/>
    <mergeCell ref="C837:D837"/>
    <mergeCell ref="C838:D838"/>
    <mergeCell ref="C839:D839"/>
    <mergeCell ref="A840:D840"/>
    <mergeCell ref="A829:D829"/>
    <mergeCell ref="C830:D830"/>
    <mergeCell ref="C831:D831"/>
    <mergeCell ref="C832:D832"/>
    <mergeCell ref="C833:D833"/>
    <mergeCell ref="C834:D834"/>
    <mergeCell ref="A822:B822"/>
    <mergeCell ref="A824:B824"/>
    <mergeCell ref="A825:D825"/>
    <mergeCell ref="A826:D826"/>
    <mergeCell ref="C802:D802"/>
    <mergeCell ref="C803:D803"/>
    <mergeCell ref="C804:D804"/>
    <mergeCell ref="C805:D805"/>
    <mergeCell ref="A806:D806"/>
    <mergeCell ref="A813:D813"/>
    <mergeCell ref="C796:D796"/>
    <mergeCell ref="C797:D797"/>
    <mergeCell ref="C798:D798"/>
    <mergeCell ref="C799:D799"/>
    <mergeCell ref="C800:D800"/>
    <mergeCell ref="C801:D801"/>
    <mergeCell ref="A790:B790"/>
    <mergeCell ref="A791:D791"/>
    <mergeCell ref="A792:D792"/>
    <mergeCell ref="A795:D795"/>
    <mergeCell ref="C769:D769"/>
    <mergeCell ref="C770:D770"/>
    <mergeCell ref="C771:D771"/>
    <mergeCell ref="A772:D772"/>
    <mergeCell ref="A779:D779"/>
    <mergeCell ref="A788:B788"/>
    <mergeCell ref="C763:D763"/>
    <mergeCell ref="C764:D764"/>
    <mergeCell ref="C765:D765"/>
    <mergeCell ref="C766:D766"/>
    <mergeCell ref="C767:D767"/>
    <mergeCell ref="C768:D768"/>
    <mergeCell ref="A757:D757"/>
    <mergeCell ref="A758:D758"/>
    <mergeCell ref="A761:D761"/>
    <mergeCell ref="C762:D762"/>
    <mergeCell ref="C736:D736"/>
    <mergeCell ref="C737:D737"/>
    <mergeCell ref="A738:D738"/>
    <mergeCell ref="A745:D745"/>
    <mergeCell ref="A754:B754"/>
    <mergeCell ref="A756:B756"/>
    <mergeCell ref="C730:D730"/>
    <mergeCell ref="C731:D731"/>
    <mergeCell ref="C732:D732"/>
    <mergeCell ref="C733:D733"/>
    <mergeCell ref="C734:D734"/>
    <mergeCell ref="C735:D735"/>
    <mergeCell ref="A724:D724"/>
    <mergeCell ref="A727:D727"/>
    <mergeCell ref="C728:D728"/>
    <mergeCell ref="C729:D729"/>
    <mergeCell ref="C703:D703"/>
    <mergeCell ref="A704:D704"/>
    <mergeCell ref="A711:D711"/>
    <mergeCell ref="A720:B720"/>
    <mergeCell ref="A722:B722"/>
    <mergeCell ref="A723:D723"/>
    <mergeCell ref="C697:D697"/>
    <mergeCell ref="C698:D698"/>
    <mergeCell ref="C699:D699"/>
    <mergeCell ref="C700:D700"/>
    <mergeCell ref="C701:D701"/>
    <mergeCell ref="C702:D702"/>
    <mergeCell ref="A693:D693"/>
    <mergeCell ref="C694:D694"/>
    <mergeCell ref="C695:D695"/>
    <mergeCell ref="C696:D696"/>
    <mergeCell ref="A670:D670"/>
    <mergeCell ref="A677:D677"/>
    <mergeCell ref="A686:B686"/>
    <mergeCell ref="A688:B688"/>
    <mergeCell ref="A689:D689"/>
    <mergeCell ref="A690:D690"/>
    <mergeCell ref="C664:D664"/>
    <mergeCell ref="C665:D665"/>
    <mergeCell ref="C666:D666"/>
    <mergeCell ref="C667:D667"/>
    <mergeCell ref="C668:D668"/>
    <mergeCell ref="C669:D669"/>
    <mergeCell ref="A659:D659"/>
    <mergeCell ref="C660:D660"/>
    <mergeCell ref="C661:D661"/>
    <mergeCell ref="C662:D662"/>
    <mergeCell ref="C663:D663"/>
    <mergeCell ref="A643:D643"/>
    <mergeCell ref="A652:B652"/>
    <mergeCell ref="A654:B654"/>
    <mergeCell ref="A655:D655"/>
    <mergeCell ref="A656:D656"/>
    <mergeCell ref="C631:D631"/>
    <mergeCell ref="C632:D632"/>
    <mergeCell ref="C633:D633"/>
    <mergeCell ref="C634:D634"/>
    <mergeCell ref="C635:D635"/>
    <mergeCell ref="A636:D636"/>
    <mergeCell ref="A625:D625"/>
    <mergeCell ref="C626:D626"/>
    <mergeCell ref="C627:D627"/>
    <mergeCell ref="C628:D628"/>
    <mergeCell ref="C629:D629"/>
    <mergeCell ref="C630:D630"/>
    <mergeCell ref="A618:B618"/>
    <mergeCell ref="A620:B620"/>
    <mergeCell ref="A621:D621"/>
    <mergeCell ref="A622:D622"/>
    <mergeCell ref="C598:D598"/>
    <mergeCell ref="C599:D599"/>
    <mergeCell ref="C600:D600"/>
    <mergeCell ref="C601:D601"/>
    <mergeCell ref="A602:D602"/>
    <mergeCell ref="A609:D609"/>
    <mergeCell ref="C592:D592"/>
    <mergeCell ref="C593:D593"/>
    <mergeCell ref="C594:D594"/>
    <mergeCell ref="C595:D595"/>
    <mergeCell ref="C596:D596"/>
    <mergeCell ref="C597:D597"/>
    <mergeCell ref="A586:B586"/>
    <mergeCell ref="A587:D587"/>
    <mergeCell ref="A588:D588"/>
    <mergeCell ref="A591:D591"/>
    <mergeCell ref="C565:D565"/>
    <mergeCell ref="C566:D566"/>
    <mergeCell ref="C567:D567"/>
    <mergeCell ref="A568:D568"/>
    <mergeCell ref="A575:D575"/>
    <mergeCell ref="A584:B584"/>
    <mergeCell ref="C559:D559"/>
    <mergeCell ref="C560:D560"/>
    <mergeCell ref="C561:D561"/>
    <mergeCell ref="C562:D562"/>
    <mergeCell ref="C563:D563"/>
    <mergeCell ref="C564:D564"/>
    <mergeCell ref="A553:D553"/>
    <mergeCell ref="A554:D554"/>
    <mergeCell ref="A557:D557"/>
    <mergeCell ref="C558:D558"/>
    <mergeCell ref="C532:D532"/>
    <mergeCell ref="C533:D533"/>
    <mergeCell ref="A534:D534"/>
    <mergeCell ref="A541:D541"/>
    <mergeCell ref="A550:B550"/>
    <mergeCell ref="A552:B552"/>
    <mergeCell ref="C526:D526"/>
    <mergeCell ref="C527:D527"/>
    <mergeCell ref="C528:D528"/>
    <mergeCell ref="C529:D529"/>
    <mergeCell ref="C530:D530"/>
    <mergeCell ref="C531:D531"/>
    <mergeCell ref="A520:D520"/>
    <mergeCell ref="A523:D523"/>
    <mergeCell ref="C524:D524"/>
    <mergeCell ref="C525:D525"/>
    <mergeCell ref="C499:D499"/>
    <mergeCell ref="A500:D500"/>
    <mergeCell ref="A507:D507"/>
    <mergeCell ref="A516:B516"/>
    <mergeCell ref="A518:B518"/>
    <mergeCell ref="A519:D519"/>
    <mergeCell ref="C493:D493"/>
    <mergeCell ref="C494:D494"/>
    <mergeCell ref="C495:D495"/>
    <mergeCell ref="C496:D496"/>
    <mergeCell ref="C497:D497"/>
    <mergeCell ref="C498:D498"/>
    <mergeCell ref="A489:D489"/>
    <mergeCell ref="C490:D490"/>
    <mergeCell ref="C491:D491"/>
    <mergeCell ref="C492:D492"/>
    <mergeCell ref="A466:D466"/>
    <mergeCell ref="A473:D473"/>
    <mergeCell ref="A482:B482"/>
    <mergeCell ref="A484:B484"/>
    <mergeCell ref="A485:D485"/>
    <mergeCell ref="A486:D486"/>
    <mergeCell ref="C460:D460"/>
    <mergeCell ref="C461:D461"/>
    <mergeCell ref="C462:D462"/>
    <mergeCell ref="C463:D463"/>
    <mergeCell ref="C464:D464"/>
    <mergeCell ref="C465:D465"/>
    <mergeCell ref="A455:D455"/>
    <mergeCell ref="C456:D456"/>
    <mergeCell ref="C457:D457"/>
    <mergeCell ref="C458:D458"/>
    <mergeCell ref="C459:D459"/>
    <mergeCell ref="A439:D439"/>
    <mergeCell ref="A448:B448"/>
    <mergeCell ref="A450:B450"/>
    <mergeCell ref="A451:D451"/>
    <mergeCell ref="A452:D452"/>
    <mergeCell ref="C427:D427"/>
    <mergeCell ref="C428:D428"/>
    <mergeCell ref="C429:D429"/>
    <mergeCell ref="C430:D430"/>
    <mergeCell ref="C431:D431"/>
    <mergeCell ref="A432:D432"/>
    <mergeCell ref="A421:D421"/>
    <mergeCell ref="C422:D422"/>
    <mergeCell ref="C423:D423"/>
    <mergeCell ref="C424:D424"/>
    <mergeCell ref="C425:D425"/>
    <mergeCell ref="C426:D426"/>
    <mergeCell ref="A414:B414"/>
    <mergeCell ref="A416:B416"/>
    <mergeCell ref="A417:D417"/>
    <mergeCell ref="A418:D418"/>
    <mergeCell ref="C394:D394"/>
    <mergeCell ref="C395:D395"/>
    <mergeCell ref="C396:D396"/>
    <mergeCell ref="C397:D397"/>
    <mergeCell ref="A398:D398"/>
    <mergeCell ref="A405:D405"/>
    <mergeCell ref="C388:D388"/>
    <mergeCell ref="C389:D389"/>
    <mergeCell ref="C390:D390"/>
    <mergeCell ref="C391:D391"/>
    <mergeCell ref="C392:D392"/>
    <mergeCell ref="C393:D393"/>
    <mergeCell ref="A382:B382"/>
    <mergeCell ref="A383:D383"/>
    <mergeCell ref="A384:D384"/>
    <mergeCell ref="A387:D387"/>
    <mergeCell ref="C361:D361"/>
    <mergeCell ref="C362:D362"/>
    <mergeCell ref="C363:D363"/>
    <mergeCell ref="A364:D364"/>
    <mergeCell ref="A371:D371"/>
    <mergeCell ref="A380:B380"/>
    <mergeCell ref="A349:D349"/>
    <mergeCell ref="A350:D350"/>
    <mergeCell ref="A353:D353"/>
    <mergeCell ref="C357:D357"/>
    <mergeCell ref="C358:D358"/>
    <mergeCell ref="C359:D359"/>
    <mergeCell ref="C360:D360"/>
    <mergeCell ref="C354:D354"/>
    <mergeCell ref="C355:D355"/>
    <mergeCell ref="C356:D356"/>
    <mergeCell ref="A330:D330"/>
    <mergeCell ref="A337:D337"/>
    <mergeCell ref="A346:B346"/>
    <mergeCell ref="A348:B348"/>
    <mergeCell ref="C324:D324"/>
    <mergeCell ref="C325:D325"/>
    <mergeCell ref="C326:D326"/>
    <mergeCell ref="C327:D327"/>
    <mergeCell ref="C328:D328"/>
    <mergeCell ref="C329:D329"/>
    <mergeCell ref="A319:D319"/>
    <mergeCell ref="C320:D320"/>
    <mergeCell ref="C321:D321"/>
    <mergeCell ref="C322:D322"/>
    <mergeCell ref="C323:D323"/>
    <mergeCell ref="A303:D303"/>
    <mergeCell ref="A312:B312"/>
    <mergeCell ref="A314:B314"/>
    <mergeCell ref="A315:D315"/>
    <mergeCell ref="A316:D316"/>
    <mergeCell ref="C291:D291"/>
    <mergeCell ref="C292:D292"/>
    <mergeCell ref="C293:D293"/>
    <mergeCell ref="C294:D294"/>
    <mergeCell ref="C295:D295"/>
    <mergeCell ref="A296:D296"/>
    <mergeCell ref="A285:D285"/>
    <mergeCell ref="C286:D286"/>
    <mergeCell ref="C287:D287"/>
    <mergeCell ref="C288:D288"/>
    <mergeCell ref="C289:D289"/>
    <mergeCell ref="C290:D290"/>
    <mergeCell ref="A278:B278"/>
    <mergeCell ref="A280:B280"/>
    <mergeCell ref="A281:D281"/>
    <mergeCell ref="A282:D282"/>
    <mergeCell ref="C258:D258"/>
    <mergeCell ref="C259:D259"/>
    <mergeCell ref="C260:D260"/>
    <mergeCell ref="C261:D261"/>
    <mergeCell ref="A262:D262"/>
    <mergeCell ref="A269:D269"/>
    <mergeCell ref="C252:D252"/>
    <mergeCell ref="C253:D253"/>
    <mergeCell ref="C254:D254"/>
    <mergeCell ref="C255:D255"/>
    <mergeCell ref="C256:D256"/>
    <mergeCell ref="C257:D257"/>
    <mergeCell ref="A246:B246"/>
    <mergeCell ref="A247:D247"/>
    <mergeCell ref="A248:D248"/>
    <mergeCell ref="A251:D251"/>
    <mergeCell ref="C225:D225"/>
    <mergeCell ref="C226:D226"/>
    <mergeCell ref="C227:D227"/>
    <mergeCell ref="A228:D228"/>
    <mergeCell ref="A235:D235"/>
    <mergeCell ref="A244:B244"/>
    <mergeCell ref="C219:D219"/>
    <mergeCell ref="C220:D220"/>
    <mergeCell ref="C221:D221"/>
    <mergeCell ref="C222:D222"/>
    <mergeCell ref="C223:D223"/>
    <mergeCell ref="C224:D224"/>
    <mergeCell ref="A213:D213"/>
    <mergeCell ref="A214:D214"/>
    <mergeCell ref="A217:D217"/>
    <mergeCell ref="C218:D218"/>
    <mergeCell ref="C192:D192"/>
    <mergeCell ref="C193:D193"/>
    <mergeCell ref="A194:D194"/>
    <mergeCell ref="A201:D201"/>
    <mergeCell ref="A210:B210"/>
    <mergeCell ref="A212:B212"/>
    <mergeCell ref="C186:D186"/>
    <mergeCell ref="C187:D187"/>
    <mergeCell ref="C188:D188"/>
    <mergeCell ref="C189:D189"/>
    <mergeCell ref="C190:D190"/>
    <mergeCell ref="C191:D191"/>
    <mergeCell ref="A180:D180"/>
    <mergeCell ref="A183:D183"/>
    <mergeCell ref="C184:D184"/>
    <mergeCell ref="C185:D185"/>
    <mergeCell ref="C159:D159"/>
    <mergeCell ref="A160:D160"/>
    <mergeCell ref="A167:D167"/>
    <mergeCell ref="A176:B176"/>
    <mergeCell ref="A178:B178"/>
    <mergeCell ref="A179:D179"/>
    <mergeCell ref="C153:D153"/>
    <mergeCell ref="C154:D154"/>
    <mergeCell ref="C155:D155"/>
    <mergeCell ref="C156:D156"/>
    <mergeCell ref="C157:D157"/>
    <mergeCell ref="C158:D158"/>
    <mergeCell ref="A149:D149"/>
    <mergeCell ref="C150:D150"/>
    <mergeCell ref="C151:D151"/>
    <mergeCell ref="C152:D152"/>
    <mergeCell ref="A126:D126"/>
    <mergeCell ref="A133:D133"/>
    <mergeCell ref="A142:B142"/>
    <mergeCell ref="A144:B144"/>
    <mergeCell ref="A145:D145"/>
    <mergeCell ref="A146:D146"/>
    <mergeCell ref="C120:D120"/>
    <mergeCell ref="C121:D121"/>
    <mergeCell ref="C122:D122"/>
    <mergeCell ref="C123:D123"/>
    <mergeCell ref="C124:D124"/>
    <mergeCell ref="C125:D125"/>
    <mergeCell ref="A115:D115"/>
    <mergeCell ref="C116:D116"/>
    <mergeCell ref="C117:D117"/>
    <mergeCell ref="C118:D118"/>
    <mergeCell ref="C119:D119"/>
    <mergeCell ref="A99:D99"/>
    <mergeCell ref="A108:B108"/>
    <mergeCell ref="A110:B110"/>
    <mergeCell ref="A111:D111"/>
    <mergeCell ref="A112:D112"/>
    <mergeCell ref="C87:D87"/>
    <mergeCell ref="C88:D88"/>
    <mergeCell ref="C89:D89"/>
    <mergeCell ref="C90:D90"/>
    <mergeCell ref="C91:D91"/>
    <mergeCell ref="A92:D92"/>
    <mergeCell ref="A81:D81"/>
    <mergeCell ref="C82:D82"/>
    <mergeCell ref="C83:D83"/>
    <mergeCell ref="C84:D84"/>
    <mergeCell ref="C85:D85"/>
    <mergeCell ref="C86:D86"/>
    <mergeCell ref="A74:B74"/>
    <mergeCell ref="A76:B76"/>
    <mergeCell ref="A77:D77"/>
    <mergeCell ref="A78:D78"/>
    <mergeCell ref="C54:D54"/>
    <mergeCell ref="C55:D55"/>
    <mergeCell ref="C56:D56"/>
    <mergeCell ref="C57:D57"/>
    <mergeCell ref="A58:D58"/>
    <mergeCell ref="A65:D65"/>
    <mergeCell ref="C48:D48"/>
    <mergeCell ref="C49:D49"/>
    <mergeCell ref="C50:D50"/>
    <mergeCell ref="C51:D51"/>
    <mergeCell ref="C52:D52"/>
    <mergeCell ref="C53:D53"/>
    <mergeCell ref="A42:B42"/>
    <mergeCell ref="A43:D43"/>
    <mergeCell ref="A44:D44"/>
    <mergeCell ref="A47:D47"/>
    <mergeCell ref="C24:D24"/>
    <mergeCell ref="C25:D25"/>
    <mergeCell ref="C26:D26"/>
    <mergeCell ref="A27:D27"/>
    <mergeCell ref="A31:D31"/>
    <mergeCell ref="A40:B40"/>
    <mergeCell ref="C18:D18"/>
    <mergeCell ref="C19:D19"/>
    <mergeCell ref="C20:D20"/>
    <mergeCell ref="C21:D21"/>
    <mergeCell ref="C22:D22"/>
    <mergeCell ref="C23:D23"/>
    <mergeCell ref="A8:D8"/>
    <mergeCell ref="A9:D9"/>
    <mergeCell ref="A12:D12"/>
    <mergeCell ref="A13:D13"/>
    <mergeCell ref="A16:D16"/>
    <mergeCell ref="C17:D17"/>
  </mergeCells>
  <conditionalFormatting sqref="E37">
    <cfRule type="cellIs" dxfId="149" priority="148" operator="notEqual">
      <formula>D37</formula>
    </cfRule>
  </conditionalFormatting>
  <conditionalFormatting sqref="E34">
    <cfRule type="cellIs" dxfId="148" priority="147" operator="notEqual">
      <formula>D34</formula>
    </cfRule>
  </conditionalFormatting>
  <conditionalFormatting sqref="E38">
    <cfRule type="cellIs" dxfId="147" priority="146" operator="notEqual">
      <formula>D34+D37</formula>
    </cfRule>
  </conditionalFormatting>
  <conditionalFormatting sqref="E71">
    <cfRule type="cellIs" dxfId="146" priority="145" operator="notEqual">
      <formula>D71</formula>
    </cfRule>
  </conditionalFormatting>
  <conditionalFormatting sqref="E68">
    <cfRule type="cellIs" dxfId="145" priority="144" operator="notEqual">
      <formula>D68</formula>
    </cfRule>
  </conditionalFormatting>
  <conditionalFormatting sqref="E72">
    <cfRule type="cellIs" dxfId="144" priority="143" operator="notEqual">
      <formula>D68+D71</formula>
    </cfRule>
  </conditionalFormatting>
  <conditionalFormatting sqref="E105">
    <cfRule type="cellIs" dxfId="143" priority="142" operator="notEqual">
      <formula>D105</formula>
    </cfRule>
  </conditionalFormatting>
  <conditionalFormatting sqref="E102">
    <cfRule type="cellIs" dxfId="142" priority="141" operator="notEqual">
      <formula>D102</formula>
    </cfRule>
  </conditionalFormatting>
  <conditionalFormatting sqref="E106">
    <cfRule type="cellIs" dxfId="141" priority="140" operator="notEqual">
      <formula>D102+D105</formula>
    </cfRule>
  </conditionalFormatting>
  <conditionalFormatting sqref="E139">
    <cfRule type="cellIs" dxfId="140" priority="139" operator="notEqual">
      <formula>D139</formula>
    </cfRule>
  </conditionalFormatting>
  <conditionalFormatting sqref="E136">
    <cfRule type="cellIs" dxfId="139" priority="138" operator="notEqual">
      <formula>D136</formula>
    </cfRule>
  </conditionalFormatting>
  <conditionalFormatting sqref="E140">
    <cfRule type="cellIs" dxfId="138" priority="137" operator="notEqual">
      <formula>D136+D139</formula>
    </cfRule>
  </conditionalFormatting>
  <conditionalFormatting sqref="E174">
    <cfRule type="cellIs" dxfId="137" priority="134" operator="notEqual">
      <formula>D170+D173</formula>
    </cfRule>
  </conditionalFormatting>
  <conditionalFormatting sqref="E173">
    <cfRule type="cellIs" dxfId="136" priority="136" operator="notEqual">
      <formula>D173</formula>
    </cfRule>
  </conditionalFormatting>
  <conditionalFormatting sqref="E170">
    <cfRule type="cellIs" dxfId="135" priority="135" operator="notEqual">
      <formula>D170</formula>
    </cfRule>
  </conditionalFormatting>
  <conditionalFormatting sqref="E208">
    <cfRule type="cellIs" dxfId="134" priority="131" operator="notEqual">
      <formula>D204+D207</formula>
    </cfRule>
  </conditionalFormatting>
  <conditionalFormatting sqref="E207">
    <cfRule type="cellIs" dxfId="133" priority="133" operator="notEqual">
      <formula>D207</formula>
    </cfRule>
  </conditionalFormatting>
  <conditionalFormatting sqref="E204">
    <cfRule type="cellIs" dxfId="132" priority="132" operator="notEqual">
      <formula>D204</formula>
    </cfRule>
  </conditionalFormatting>
  <conditionalFormatting sqref="E242">
    <cfRule type="cellIs" dxfId="131" priority="128" operator="notEqual">
      <formula>D238+D241</formula>
    </cfRule>
  </conditionalFormatting>
  <conditionalFormatting sqref="E241">
    <cfRule type="cellIs" dxfId="130" priority="130" operator="notEqual">
      <formula>D241</formula>
    </cfRule>
  </conditionalFormatting>
  <conditionalFormatting sqref="E238">
    <cfRule type="cellIs" dxfId="129" priority="129" operator="notEqual">
      <formula>D238</formula>
    </cfRule>
  </conditionalFormatting>
  <conditionalFormatting sqref="E276">
    <cfRule type="cellIs" dxfId="128" priority="125" operator="notEqual">
      <formula>D272+D275</formula>
    </cfRule>
  </conditionalFormatting>
  <conditionalFormatting sqref="E275">
    <cfRule type="cellIs" dxfId="127" priority="127" operator="notEqual">
      <formula>D275</formula>
    </cfRule>
  </conditionalFormatting>
  <conditionalFormatting sqref="E272">
    <cfRule type="cellIs" dxfId="126" priority="126" operator="notEqual">
      <formula>D272</formula>
    </cfRule>
  </conditionalFormatting>
  <conditionalFormatting sqref="E310">
    <cfRule type="cellIs" dxfId="125" priority="122" operator="notEqual">
      <formula>D306+D309</formula>
    </cfRule>
  </conditionalFormatting>
  <conditionalFormatting sqref="E309">
    <cfRule type="cellIs" dxfId="124" priority="124" operator="notEqual">
      <formula>D309</formula>
    </cfRule>
  </conditionalFormatting>
  <conditionalFormatting sqref="E306">
    <cfRule type="cellIs" dxfId="123" priority="123" operator="notEqual">
      <formula>D306</formula>
    </cfRule>
  </conditionalFormatting>
  <conditionalFormatting sqref="E344">
    <cfRule type="cellIs" dxfId="122" priority="119" operator="notEqual">
      <formula>D340+D343</formula>
    </cfRule>
  </conditionalFormatting>
  <conditionalFormatting sqref="E343">
    <cfRule type="cellIs" dxfId="121" priority="121" operator="notEqual">
      <formula>D343</formula>
    </cfRule>
  </conditionalFormatting>
  <conditionalFormatting sqref="E340">
    <cfRule type="cellIs" dxfId="120" priority="120" operator="notEqual">
      <formula>D340</formula>
    </cfRule>
  </conditionalFormatting>
  <conditionalFormatting sqref="E378">
    <cfRule type="cellIs" dxfId="119" priority="116" operator="notEqual">
      <formula>D374+D377</formula>
    </cfRule>
  </conditionalFormatting>
  <conditionalFormatting sqref="E377">
    <cfRule type="cellIs" dxfId="118" priority="118" operator="notEqual">
      <formula>D377</formula>
    </cfRule>
  </conditionalFormatting>
  <conditionalFormatting sqref="E374">
    <cfRule type="cellIs" dxfId="117" priority="117" operator="notEqual">
      <formula>D374</formula>
    </cfRule>
  </conditionalFormatting>
  <conditionalFormatting sqref="E412">
    <cfRule type="cellIs" dxfId="116" priority="113" operator="notEqual">
      <formula>D408+D411</formula>
    </cfRule>
  </conditionalFormatting>
  <conditionalFormatting sqref="E411">
    <cfRule type="cellIs" dxfId="115" priority="115" operator="notEqual">
      <formula>D411</formula>
    </cfRule>
  </conditionalFormatting>
  <conditionalFormatting sqref="E408">
    <cfRule type="cellIs" dxfId="114" priority="114" operator="notEqual">
      <formula>D408</formula>
    </cfRule>
  </conditionalFormatting>
  <conditionalFormatting sqref="E446">
    <cfRule type="cellIs" dxfId="113" priority="110" operator="notEqual">
      <formula>D442+D445</formula>
    </cfRule>
  </conditionalFormatting>
  <conditionalFormatting sqref="E445">
    <cfRule type="cellIs" dxfId="112" priority="112" operator="notEqual">
      <formula>D445</formula>
    </cfRule>
  </conditionalFormatting>
  <conditionalFormatting sqref="E442">
    <cfRule type="cellIs" dxfId="111" priority="111" operator="notEqual">
      <formula>D442</formula>
    </cfRule>
  </conditionalFormatting>
  <conditionalFormatting sqref="E480">
    <cfRule type="cellIs" dxfId="110" priority="107" operator="notEqual">
      <formula>D476+D479</formula>
    </cfRule>
  </conditionalFormatting>
  <conditionalFormatting sqref="E479">
    <cfRule type="cellIs" dxfId="109" priority="109" operator="notEqual">
      <formula>D479</formula>
    </cfRule>
  </conditionalFormatting>
  <conditionalFormatting sqref="E476">
    <cfRule type="cellIs" dxfId="108" priority="108" operator="notEqual">
      <formula>D476</formula>
    </cfRule>
  </conditionalFormatting>
  <conditionalFormatting sqref="E514">
    <cfRule type="cellIs" dxfId="107" priority="104" operator="notEqual">
      <formula>D510+D513</formula>
    </cfRule>
  </conditionalFormatting>
  <conditionalFormatting sqref="E513">
    <cfRule type="cellIs" dxfId="106" priority="106" operator="notEqual">
      <formula>D513</formula>
    </cfRule>
  </conditionalFormatting>
  <conditionalFormatting sqref="E510">
    <cfRule type="cellIs" dxfId="105" priority="105" operator="notEqual">
      <formula>D510</formula>
    </cfRule>
  </conditionalFormatting>
  <conditionalFormatting sqref="E548">
    <cfRule type="cellIs" dxfId="104" priority="101" operator="notEqual">
      <formula>D544+D547</formula>
    </cfRule>
  </conditionalFormatting>
  <conditionalFormatting sqref="E547">
    <cfRule type="cellIs" dxfId="103" priority="103" operator="notEqual">
      <formula>D547</formula>
    </cfRule>
  </conditionalFormatting>
  <conditionalFormatting sqref="E544">
    <cfRule type="cellIs" dxfId="102" priority="102" operator="notEqual">
      <formula>D544</formula>
    </cfRule>
  </conditionalFormatting>
  <conditionalFormatting sqref="E582">
    <cfRule type="cellIs" dxfId="101" priority="98" operator="notEqual">
      <formula>D578+D581</formula>
    </cfRule>
  </conditionalFormatting>
  <conditionalFormatting sqref="E581">
    <cfRule type="cellIs" dxfId="100" priority="100" operator="notEqual">
      <formula>D581</formula>
    </cfRule>
  </conditionalFormatting>
  <conditionalFormatting sqref="E578">
    <cfRule type="cellIs" dxfId="99" priority="99" operator="notEqual">
      <formula>D578</formula>
    </cfRule>
  </conditionalFormatting>
  <conditionalFormatting sqref="E616">
    <cfRule type="cellIs" dxfId="98" priority="95" operator="notEqual">
      <formula>D612+D615</formula>
    </cfRule>
  </conditionalFormatting>
  <conditionalFormatting sqref="E615">
    <cfRule type="cellIs" dxfId="97" priority="97" operator="notEqual">
      <formula>D615</formula>
    </cfRule>
  </conditionalFormatting>
  <conditionalFormatting sqref="E612">
    <cfRule type="cellIs" dxfId="96" priority="96" operator="notEqual">
      <formula>D612</formula>
    </cfRule>
  </conditionalFormatting>
  <conditionalFormatting sqref="E650">
    <cfRule type="cellIs" dxfId="95" priority="92" operator="notEqual">
      <formula>D646+D649</formula>
    </cfRule>
  </conditionalFormatting>
  <conditionalFormatting sqref="E649">
    <cfRule type="cellIs" dxfId="94" priority="94" operator="notEqual">
      <formula>D649</formula>
    </cfRule>
  </conditionalFormatting>
  <conditionalFormatting sqref="E646">
    <cfRule type="cellIs" dxfId="93" priority="93" operator="notEqual">
      <formula>D646</formula>
    </cfRule>
  </conditionalFormatting>
  <conditionalFormatting sqref="E684">
    <cfRule type="cellIs" dxfId="92" priority="89" operator="notEqual">
      <formula>D680+D683</formula>
    </cfRule>
  </conditionalFormatting>
  <conditionalFormatting sqref="E683">
    <cfRule type="cellIs" dxfId="91" priority="91" operator="notEqual">
      <formula>D683</formula>
    </cfRule>
  </conditionalFormatting>
  <conditionalFormatting sqref="E680">
    <cfRule type="cellIs" dxfId="90" priority="90" operator="notEqual">
      <formula>D680</formula>
    </cfRule>
  </conditionalFormatting>
  <conditionalFormatting sqref="E718">
    <cfRule type="cellIs" dxfId="89" priority="86" operator="notEqual">
      <formula>D714+D717</formula>
    </cfRule>
  </conditionalFormatting>
  <conditionalFormatting sqref="E717">
    <cfRule type="cellIs" dxfId="88" priority="88" operator="notEqual">
      <formula>D717</formula>
    </cfRule>
  </conditionalFormatting>
  <conditionalFormatting sqref="E714">
    <cfRule type="cellIs" dxfId="87" priority="87" operator="notEqual">
      <formula>D714</formula>
    </cfRule>
  </conditionalFormatting>
  <conditionalFormatting sqref="E752">
    <cfRule type="cellIs" dxfId="86" priority="83" operator="notEqual">
      <formula>D748+D751</formula>
    </cfRule>
  </conditionalFormatting>
  <conditionalFormatting sqref="E751">
    <cfRule type="cellIs" dxfId="85" priority="85" operator="notEqual">
      <formula>D751</formula>
    </cfRule>
  </conditionalFormatting>
  <conditionalFormatting sqref="E748">
    <cfRule type="cellIs" dxfId="84" priority="84" operator="notEqual">
      <formula>D748</formula>
    </cfRule>
  </conditionalFormatting>
  <conditionalFormatting sqref="E786">
    <cfRule type="cellIs" dxfId="83" priority="80" operator="notEqual">
      <formula>D782+D785</formula>
    </cfRule>
  </conditionalFormatting>
  <conditionalFormatting sqref="E785">
    <cfRule type="cellIs" dxfId="82" priority="82" operator="notEqual">
      <formula>D785</formula>
    </cfRule>
  </conditionalFormatting>
  <conditionalFormatting sqref="E782">
    <cfRule type="cellIs" dxfId="81" priority="81" operator="notEqual">
      <formula>D782</formula>
    </cfRule>
  </conditionalFormatting>
  <conditionalFormatting sqref="E820">
    <cfRule type="cellIs" dxfId="80" priority="77" operator="notEqual">
      <formula>D816+D819</formula>
    </cfRule>
  </conditionalFormatting>
  <conditionalFormatting sqref="E819">
    <cfRule type="cellIs" dxfId="79" priority="79" operator="notEqual">
      <formula>D819</formula>
    </cfRule>
  </conditionalFormatting>
  <conditionalFormatting sqref="E816">
    <cfRule type="cellIs" dxfId="78" priority="78" operator="notEqual">
      <formula>D816</formula>
    </cfRule>
  </conditionalFormatting>
  <conditionalFormatting sqref="E854">
    <cfRule type="cellIs" dxfId="77" priority="74" operator="notEqual">
      <formula>D850+D853</formula>
    </cfRule>
  </conditionalFormatting>
  <conditionalFormatting sqref="E853">
    <cfRule type="cellIs" dxfId="76" priority="76" operator="notEqual">
      <formula>D853</formula>
    </cfRule>
  </conditionalFormatting>
  <conditionalFormatting sqref="E850">
    <cfRule type="cellIs" dxfId="75" priority="75" operator="notEqual">
      <formula>D850</formula>
    </cfRule>
  </conditionalFormatting>
  <conditionalFormatting sqref="E26">
    <cfRule type="cellIs" dxfId="74" priority="73" operator="notEqual">
      <formula>C26</formula>
    </cfRule>
  </conditionalFormatting>
  <conditionalFormatting sqref="E887">
    <cfRule type="cellIs" dxfId="73" priority="72" operator="notEqual">
      <formula>D887</formula>
    </cfRule>
  </conditionalFormatting>
  <conditionalFormatting sqref="E884">
    <cfRule type="cellIs" dxfId="72" priority="71" operator="notEqual">
      <formula>D884</formula>
    </cfRule>
  </conditionalFormatting>
  <conditionalFormatting sqref="E888">
    <cfRule type="cellIs" dxfId="71" priority="70" operator="notEqual">
      <formula>D884+D887</formula>
    </cfRule>
  </conditionalFormatting>
  <conditionalFormatting sqref="E921">
    <cfRule type="cellIs" dxfId="70" priority="69" operator="notEqual">
      <formula>D921</formula>
    </cfRule>
  </conditionalFormatting>
  <conditionalFormatting sqref="E918">
    <cfRule type="cellIs" dxfId="69" priority="68" operator="notEqual">
      <formula>D918</formula>
    </cfRule>
  </conditionalFormatting>
  <conditionalFormatting sqref="E922">
    <cfRule type="cellIs" dxfId="68" priority="67" operator="notEqual">
      <formula>D918+D921</formula>
    </cfRule>
  </conditionalFormatting>
  <conditionalFormatting sqref="E955">
    <cfRule type="cellIs" dxfId="67" priority="66" operator="notEqual">
      <formula>D955</formula>
    </cfRule>
  </conditionalFormatting>
  <conditionalFormatting sqref="E952">
    <cfRule type="cellIs" dxfId="66" priority="65" operator="notEqual">
      <formula>D952</formula>
    </cfRule>
  </conditionalFormatting>
  <conditionalFormatting sqref="E956">
    <cfRule type="cellIs" dxfId="65" priority="64" operator="notEqual">
      <formula>D952+D955</formula>
    </cfRule>
  </conditionalFormatting>
  <conditionalFormatting sqref="E990">
    <cfRule type="cellIs" dxfId="64" priority="61" operator="notEqual">
      <formula>D986+D989</formula>
    </cfRule>
  </conditionalFormatting>
  <conditionalFormatting sqref="E989">
    <cfRule type="cellIs" dxfId="63" priority="63" operator="notEqual">
      <formula>D989</formula>
    </cfRule>
  </conditionalFormatting>
  <conditionalFormatting sqref="E986">
    <cfRule type="cellIs" dxfId="62" priority="62" operator="notEqual">
      <formula>D986</formula>
    </cfRule>
  </conditionalFormatting>
  <conditionalFormatting sqref="E1024">
    <cfRule type="cellIs" dxfId="61" priority="58" operator="notEqual">
      <formula>D1020+D1023</formula>
    </cfRule>
  </conditionalFormatting>
  <conditionalFormatting sqref="E1023">
    <cfRule type="cellIs" dxfId="60" priority="60" operator="notEqual">
      <formula>D1023</formula>
    </cfRule>
  </conditionalFormatting>
  <conditionalFormatting sqref="E1020">
    <cfRule type="cellIs" dxfId="59" priority="59" operator="notEqual">
      <formula>D1020</formula>
    </cfRule>
  </conditionalFormatting>
  <conditionalFormatting sqref="E1058">
    <cfRule type="cellIs" dxfId="58" priority="55" operator="notEqual">
      <formula>D1054+D1057</formula>
    </cfRule>
  </conditionalFormatting>
  <conditionalFormatting sqref="E1057">
    <cfRule type="cellIs" dxfId="57" priority="57" operator="notEqual">
      <formula>D1057</formula>
    </cfRule>
  </conditionalFormatting>
  <conditionalFormatting sqref="E1054">
    <cfRule type="cellIs" dxfId="56" priority="56" operator="notEqual">
      <formula>D1054</formula>
    </cfRule>
  </conditionalFormatting>
  <conditionalFormatting sqref="E1092">
    <cfRule type="cellIs" dxfId="55" priority="52" operator="notEqual">
      <formula>D1088+D1091</formula>
    </cfRule>
  </conditionalFormatting>
  <conditionalFormatting sqref="E1091">
    <cfRule type="cellIs" dxfId="54" priority="54" operator="notEqual">
      <formula>D1091</formula>
    </cfRule>
  </conditionalFormatting>
  <conditionalFormatting sqref="E1088">
    <cfRule type="cellIs" dxfId="53" priority="53" operator="notEqual">
      <formula>D1088</formula>
    </cfRule>
  </conditionalFormatting>
  <conditionalFormatting sqref="E1126">
    <cfRule type="cellIs" dxfId="52" priority="49" operator="notEqual">
      <formula>D1122+D1125</formula>
    </cfRule>
  </conditionalFormatting>
  <conditionalFormatting sqref="E1125">
    <cfRule type="cellIs" dxfId="51" priority="51" operator="notEqual">
      <formula>D1125</formula>
    </cfRule>
  </conditionalFormatting>
  <conditionalFormatting sqref="E1122">
    <cfRule type="cellIs" dxfId="50" priority="50" operator="notEqual">
      <formula>D1122</formula>
    </cfRule>
  </conditionalFormatting>
  <conditionalFormatting sqref="E1160">
    <cfRule type="cellIs" dxfId="49" priority="46" operator="notEqual">
      <formula>D1156+D1159</formula>
    </cfRule>
  </conditionalFormatting>
  <conditionalFormatting sqref="E1159">
    <cfRule type="cellIs" dxfId="48" priority="48" operator="notEqual">
      <formula>D1159</formula>
    </cfRule>
  </conditionalFormatting>
  <conditionalFormatting sqref="E1156">
    <cfRule type="cellIs" dxfId="47" priority="47" operator="notEqual">
      <formula>D1156</formula>
    </cfRule>
  </conditionalFormatting>
  <conditionalFormatting sqref="E1194">
    <cfRule type="cellIs" dxfId="46" priority="43" operator="notEqual">
      <formula>D1190+D1193</formula>
    </cfRule>
  </conditionalFormatting>
  <conditionalFormatting sqref="E1193">
    <cfRule type="cellIs" dxfId="45" priority="45" operator="notEqual">
      <formula>D1193</formula>
    </cfRule>
  </conditionalFormatting>
  <conditionalFormatting sqref="E1190">
    <cfRule type="cellIs" dxfId="44" priority="44" operator="notEqual">
      <formula>D1190</formula>
    </cfRule>
  </conditionalFormatting>
  <conditionalFormatting sqref="E1228">
    <cfRule type="cellIs" dxfId="43" priority="40" operator="notEqual">
      <formula>D1224+D1227</formula>
    </cfRule>
  </conditionalFormatting>
  <conditionalFormatting sqref="E1227">
    <cfRule type="cellIs" dxfId="42" priority="42" operator="notEqual">
      <formula>D1227</formula>
    </cfRule>
  </conditionalFormatting>
  <conditionalFormatting sqref="E1224">
    <cfRule type="cellIs" dxfId="41" priority="41" operator="notEqual">
      <formula>D1224</formula>
    </cfRule>
  </conditionalFormatting>
  <conditionalFormatting sqref="E1262">
    <cfRule type="cellIs" dxfId="40" priority="37" operator="notEqual">
      <formula>D1258+D1261</formula>
    </cfRule>
  </conditionalFormatting>
  <conditionalFormatting sqref="E1261">
    <cfRule type="cellIs" dxfId="39" priority="39" operator="notEqual">
      <formula>D1261</formula>
    </cfRule>
  </conditionalFormatting>
  <conditionalFormatting sqref="E1258">
    <cfRule type="cellIs" dxfId="38" priority="38" operator="notEqual">
      <formula>D1258</formula>
    </cfRule>
  </conditionalFormatting>
  <conditionalFormatting sqref="E1296">
    <cfRule type="cellIs" dxfId="37" priority="34" operator="notEqual">
      <formula>D1292+D1295</formula>
    </cfRule>
  </conditionalFormatting>
  <conditionalFormatting sqref="E1295">
    <cfRule type="cellIs" dxfId="36" priority="36" operator="notEqual">
      <formula>D1295</formula>
    </cfRule>
  </conditionalFormatting>
  <conditionalFormatting sqref="E1292">
    <cfRule type="cellIs" dxfId="35" priority="35" operator="notEqual">
      <formula>D1292</formula>
    </cfRule>
  </conditionalFormatting>
  <conditionalFormatting sqref="E1330">
    <cfRule type="cellIs" dxfId="34" priority="31" operator="notEqual">
      <formula>D1326+D1329</formula>
    </cfRule>
  </conditionalFormatting>
  <conditionalFormatting sqref="E1329">
    <cfRule type="cellIs" dxfId="33" priority="33" operator="notEqual">
      <formula>D1329</formula>
    </cfRule>
  </conditionalFormatting>
  <conditionalFormatting sqref="E1326">
    <cfRule type="cellIs" dxfId="32" priority="32" operator="notEqual">
      <formula>D1326</formula>
    </cfRule>
  </conditionalFormatting>
  <conditionalFormatting sqref="E1364">
    <cfRule type="cellIs" dxfId="31" priority="28" operator="notEqual">
      <formula>D1360+D1363</formula>
    </cfRule>
  </conditionalFormatting>
  <conditionalFormatting sqref="E1363">
    <cfRule type="cellIs" dxfId="30" priority="30" operator="notEqual">
      <formula>D1363</formula>
    </cfRule>
  </conditionalFormatting>
  <conditionalFormatting sqref="E1360">
    <cfRule type="cellIs" dxfId="29" priority="29" operator="notEqual">
      <formula>D1360</formula>
    </cfRule>
  </conditionalFormatting>
  <conditionalFormatting sqref="E1398">
    <cfRule type="cellIs" dxfId="28" priority="25" operator="notEqual">
      <formula>D1394+D1397</formula>
    </cfRule>
  </conditionalFormatting>
  <conditionalFormatting sqref="E1397">
    <cfRule type="cellIs" dxfId="27" priority="27" operator="notEqual">
      <formula>D1397</formula>
    </cfRule>
  </conditionalFormatting>
  <conditionalFormatting sqref="E1394">
    <cfRule type="cellIs" dxfId="26" priority="26" operator="notEqual">
      <formula>D1394</formula>
    </cfRule>
  </conditionalFormatting>
  <conditionalFormatting sqref="E1432">
    <cfRule type="cellIs" dxfId="25" priority="22" operator="notEqual">
      <formula>D1428+D1431</formula>
    </cfRule>
  </conditionalFormatting>
  <conditionalFormatting sqref="E1431">
    <cfRule type="cellIs" dxfId="24" priority="24" operator="notEqual">
      <formula>D1431</formula>
    </cfRule>
  </conditionalFormatting>
  <conditionalFormatting sqref="E1428">
    <cfRule type="cellIs" dxfId="23" priority="23" operator="notEqual">
      <formula>D1428</formula>
    </cfRule>
  </conditionalFormatting>
  <conditionalFormatting sqref="E1466">
    <cfRule type="cellIs" dxfId="22" priority="19" operator="notEqual">
      <formula>D1462+D1465</formula>
    </cfRule>
  </conditionalFormatting>
  <conditionalFormatting sqref="E1465">
    <cfRule type="cellIs" dxfId="21" priority="21" operator="notEqual">
      <formula>D1465</formula>
    </cfRule>
  </conditionalFormatting>
  <conditionalFormatting sqref="E1462">
    <cfRule type="cellIs" dxfId="20" priority="20" operator="notEqual">
      <formula>D1462</formula>
    </cfRule>
  </conditionalFormatting>
  <conditionalFormatting sqref="E1500">
    <cfRule type="cellIs" dxfId="19" priority="16" operator="notEqual">
      <formula>D1496+D1499</formula>
    </cfRule>
  </conditionalFormatting>
  <conditionalFormatting sqref="E1499">
    <cfRule type="cellIs" dxfId="18" priority="18" operator="notEqual">
      <formula>D1499</formula>
    </cfRule>
  </conditionalFormatting>
  <conditionalFormatting sqref="E1496">
    <cfRule type="cellIs" dxfId="17" priority="17" operator="notEqual">
      <formula>D1496</formula>
    </cfRule>
  </conditionalFormatting>
  <conditionalFormatting sqref="E1534">
    <cfRule type="cellIs" dxfId="16" priority="13" operator="notEqual">
      <formula>D1530+D1533</formula>
    </cfRule>
  </conditionalFormatting>
  <conditionalFormatting sqref="E1533">
    <cfRule type="cellIs" dxfId="15" priority="15" operator="notEqual">
      <formula>D1533</formula>
    </cfRule>
  </conditionalFormatting>
  <conditionalFormatting sqref="E1530">
    <cfRule type="cellIs" dxfId="14" priority="14" operator="notEqual">
      <formula>D1530</formula>
    </cfRule>
  </conditionalFormatting>
  <conditionalFormatting sqref="E1568">
    <cfRule type="cellIs" dxfId="13" priority="10" operator="notEqual">
      <formula>D1564+D1567</formula>
    </cfRule>
  </conditionalFormatting>
  <conditionalFormatting sqref="E1567">
    <cfRule type="cellIs" dxfId="12" priority="12" operator="notEqual">
      <formula>D1567</formula>
    </cfRule>
  </conditionalFormatting>
  <conditionalFormatting sqref="E1564">
    <cfRule type="cellIs" dxfId="11" priority="11" operator="notEqual">
      <formula>D1564</formula>
    </cfRule>
  </conditionalFormatting>
  <conditionalFormatting sqref="E1602">
    <cfRule type="cellIs" dxfId="10" priority="7" operator="notEqual">
      <formula>D1598+D1601</formula>
    </cfRule>
  </conditionalFormatting>
  <conditionalFormatting sqref="E1601">
    <cfRule type="cellIs" dxfId="9" priority="9" operator="notEqual">
      <formula>D1601</formula>
    </cfRule>
  </conditionalFormatting>
  <conditionalFormatting sqref="E1598">
    <cfRule type="cellIs" dxfId="8" priority="8" operator="notEqual">
      <formula>D1598</formula>
    </cfRule>
  </conditionalFormatting>
  <conditionalFormatting sqref="E1636">
    <cfRule type="cellIs" dxfId="7" priority="4" operator="notEqual">
      <formula>D1632+D1635</formula>
    </cfRule>
  </conditionalFormatting>
  <conditionalFormatting sqref="E1635">
    <cfRule type="cellIs" dxfId="6" priority="6" operator="notEqual">
      <formula>D1635</formula>
    </cfRule>
  </conditionalFormatting>
  <conditionalFormatting sqref="E1632">
    <cfRule type="cellIs" dxfId="5" priority="5" operator="notEqual">
      <formula>D1632</formula>
    </cfRule>
  </conditionalFormatting>
  <conditionalFormatting sqref="E1670">
    <cfRule type="cellIs" dxfId="4" priority="1" operator="notEqual">
      <formula>D1666+D1669</formula>
    </cfRule>
  </conditionalFormatting>
  <conditionalFormatting sqref="E1669">
    <cfRule type="cellIs" dxfId="3" priority="3" operator="notEqual">
      <formula>D1669</formula>
    </cfRule>
  </conditionalFormatting>
  <conditionalFormatting sqref="E1666">
    <cfRule type="cellIs" dxfId="2" priority="2" operator="notEqual">
      <formula>D1666</formula>
    </cfRule>
  </conditionalFormatting>
  <printOptions horizontalCentered="1"/>
  <pageMargins left="0.59055118110236227" right="0.19685039370078741" top="0.19685039370078741" bottom="0.78740157480314965" header="0.51181102362204722" footer="0.51181102362204722"/>
  <pageSetup paperSize="9" scale="95" fitToHeight="0" orientation="portrait" r:id="rId1"/>
  <headerFooter alignWithMargins="0"/>
  <rowBreaks count="48" manualBreakCount="48">
    <brk id="42" max="3" man="1"/>
    <brk id="76" max="3" man="1"/>
    <brk id="110" max="3" man="1"/>
    <brk id="144" max="3" man="1"/>
    <brk id="178" max="3" man="1"/>
    <brk id="212" max="3" man="1"/>
    <brk id="246" max="3" man="1"/>
    <brk id="280" max="3" man="1"/>
    <brk id="314" max="3" man="1"/>
    <brk id="348" max="3" man="1"/>
    <brk id="382" max="3" man="1"/>
    <brk id="416" max="3" man="1"/>
    <brk id="450" max="3" man="1"/>
    <brk id="484" max="3" man="1"/>
    <brk id="518" max="3" man="1"/>
    <brk id="552" max="3" man="1"/>
    <brk id="586" max="3" man="1"/>
    <brk id="620" max="3" man="1"/>
    <brk id="654" max="3" man="1"/>
    <brk id="688" max="3" man="1"/>
    <brk id="722" max="3" man="1"/>
    <brk id="756" max="3" man="1"/>
    <brk id="790" max="3" man="1"/>
    <brk id="824" max="3" man="1"/>
    <brk id="858" max="3" man="1"/>
    <brk id="892" max="3" man="1"/>
    <brk id="926" max="3" man="1"/>
    <brk id="960" max="3" man="1"/>
    <brk id="994" max="3" man="1"/>
    <brk id="1028" max="3" man="1"/>
    <brk id="1062" max="3" man="1"/>
    <brk id="1096" max="3" man="1"/>
    <brk id="1130" max="3" man="1"/>
    <brk id="1164" max="3" man="1"/>
    <brk id="1198" max="3" man="1"/>
    <brk id="1232" max="3" man="1"/>
    <brk id="1266" max="3" man="1"/>
    <brk id="1300" max="3" man="1"/>
    <brk id="1334" max="3" man="1"/>
    <brk id="1368" max="3" man="1"/>
    <brk id="1402" max="3" man="1"/>
    <brk id="1436" max="3" man="1"/>
    <brk id="1470" max="3" man="1"/>
    <brk id="1504" max="3" man="1"/>
    <brk id="1538" max="3" man="1"/>
    <brk id="1572" max="3" man="1"/>
    <brk id="1606" max="3" man="1"/>
    <brk id="1640" max="3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BZ388"/>
  <sheetViews>
    <sheetView showGridLines="0" showZeros="0" zoomScale="85" zoomScaleNormal="85" workbookViewId="0">
      <pane xSplit="1" ySplit="4" topLeftCell="AE5" activePane="bottomRight" state="frozen"/>
      <selection pane="topRight" activeCell="B1" sqref="B1"/>
      <selection pane="bottomLeft" activeCell="A5" sqref="A5"/>
      <selection pane="bottomRight" activeCell="AI413" sqref="AI413"/>
    </sheetView>
  </sheetViews>
  <sheetFormatPr defaultColWidth="9.140625" defaultRowHeight="12.75" outlineLevelCol="1" x14ac:dyDescent="0.2"/>
  <cols>
    <col min="1" max="1" width="0" style="4" hidden="1" customWidth="1"/>
    <col min="2" max="2" width="19.5703125" style="4" hidden="1" customWidth="1"/>
    <col min="3" max="3" width="21.85546875" style="4" hidden="1" customWidth="1"/>
    <col min="4" max="4" width="9.140625" style="4" hidden="1" customWidth="1" outlineLevel="1"/>
    <col min="5" max="5" width="12.140625" style="4" hidden="1" customWidth="1" outlineLevel="1"/>
    <col min="6" max="6" width="10" style="4" hidden="1" customWidth="1" outlineLevel="1"/>
    <col min="7" max="7" width="9.140625" style="4" hidden="1" customWidth="1" outlineLevel="1"/>
    <col min="8" max="8" width="10.7109375" style="4" hidden="1" customWidth="1" outlineLevel="1"/>
    <col min="9" max="9" width="12.140625" style="16" hidden="1" customWidth="1" outlineLevel="1"/>
    <col min="10" max="11" width="10.7109375" style="3" hidden="1" customWidth="1" outlineLevel="1"/>
    <col min="12" max="12" width="10.7109375" style="4" hidden="1" customWidth="1" outlineLevel="1"/>
    <col min="13" max="13" width="12.140625" style="16" hidden="1" customWidth="1" outlineLevel="1"/>
    <col min="14" max="14" width="10.7109375" style="3" hidden="1" customWidth="1" outlineLevel="1"/>
    <col min="15" max="15" width="0" style="4" hidden="1" customWidth="1"/>
    <col min="16" max="16" width="10.7109375" style="4" hidden="1" customWidth="1" outlineLevel="1"/>
    <col min="17" max="17" width="12.140625" style="16" hidden="1" customWidth="1" outlineLevel="1"/>
    <col min="18" max="19" width="10.7109375" style="3" hidden="1" customWidth="1" outlineLevel="1"/>
    <col min="20" max="20" width="10.7109375" style="4" hidden="1" customWidth="1" outlineLevel="1"/>
    <col min="21" max="21" width="12.140625" style="16" hidden="1" customWidth="1" outlineLevel="1"/>
    <col min="22" max="22" width="10.7109375" style="3" hidden="1" customWidth="1" outlineLevel="1"/>
    <col min="23" max="23" width="9.140625" style="4" hidden="1" customWidth="1"/>
    <col min="24" max="24" width="22.5703125" style="4" hidden="1" customWidth="1"/>
    <col min="25" max="25" width="12.140625" style="4" hidden="1" customWidth="1"/>
    <col min="26" max="26" width="10.140625" style="4" hidden="1" customWidth="1"/>
    <col min="27" max="27" width="9.140625" style="4" hidden="1" customWidth="1"/>
    <col min="28" max="28" width="12.140625" style="4" hidden="1" customWidth="1"/>
    <col min="29" max="29" width="10" style="4" hidden="1" customWidth="1"/>
    <col min="30" max="30" width="0" style="4" hidden="1" customWidth="1"/>
    <col min="31" max="31" width="9.140625" style="4"/>
    <col min="32" max="32" width="9.140625" style="236"/>
    <col min="33" max="33" width="9.140625" style="238"/>
    <col min="34" max="34" width="10" style="4" bestFit="1" customWidth="1"/>
    <col min="35" max="35" width="9.140625" style="235"/>
    <col min="36" max="36" width="10" style="235" customWidth="1"/>
    <col min="37" max="37" width="9.140625" style="235"/>
    <col min="38" max="38" width="9.85546875" style="235" customWidth="1"/>
    <col min="39" max="39" width="9.140625" style="235"/>
    <col min="40" max="40" width="2.85546875" style="4" customWidth="1"/>
    <col min="41" max="44" width="10.140625" style="235" customWidth="1"/>
    <col min="45" max="47" width="9.140625" style="4"/>
    <col min="48" max="55" width="0" style="4" hidden="1" customWidth="1"/>
    <col min="56" max="56" width="33.42578125" style="4" customWidth="1"/>
    <col min="57" max="57" width="74.28515625" style="4" customWidth="1"/>
    <col min="58" max="58" width="11.7109375" style="4" customWidth="1"/>
    <col min="59" max="59" width="24.85546875" style="4" customWidth="1"/>
    <col min="60" max="60" width="9.140625" style="4"/>
    <col min="61" max="61" width="12.140625" style="4" customWidth="1"/>
    <col min="62" max="16384" width="9.140625" style="4"/>
  </cols>
  <sheetData>
    <row r="1" spans="1:78" ht="12.75" hidden="1" customHeight="1" x14ac:dyDescent="0.2">
      <c r="D1" s="471" t="s">
        <v>172</v>
      </c>
      <c r="E1" s="471"/>
      <c r="F1" s="471"/>
      <c r="H1" s="471" t="s">
        <v>173</v>
      </c>
      <c r="I1" s="471"/>
      <c r="J1" s="471"/>
      <c r="K1" s="192"/>
      <c r="L1" s="471" t="s">
        <v>199</v>
      </c>
      <c r="M1" s="471"/>
      <c r="N1" s="471"/>
      <c r="P1" s="471" t="s">
        <v>173</v>
      </c>
      <c r="Q1" s="471"/>
      <c r="R1" s="471"/>
      <c r="S1" s="195"/>
      <c r="T1" s="471" t="s">
        <v>199</v>
      </c>
      <c r="U1" s="471"/>
      <c r="V1" s="471"/>
      <c r="AA1" s="472" t="s">
        <v>184</v>
      </c>
      <c r="AB1" s="472"/>
      <c r="AC1" s="472"/>
      <c r="AI1" s="470" t="s">
        <v>238</v>
      </c>
      <c r="AJ1" s="470"/>
      <c r="AK1" s="470"/>
      <c r="AL1" s="470"/>
      <c r="AM1" s="470"/>
      <c r="AO1" s="469" t="s">
        <v>239</v>
      </c>
      <c r="AP1" s="469"/>
      <c r="AQ1" s="469"/>
      <c r="AR1" s="469"/>
      <c r="AS1" s="260"/>
      <c r="BD1" s="293" t="s">
        <v>206</v>
      </c>
      <c r="BE1" s="293" t="s">
        <v>220</v>
      </c>
      <c r="BF1" s="274">
        <v>2</v>
      </c>
      <c r="BG1" s="293" t="s">
        <v>228</v>
      </c>
      <c r="BH1" s="293" t="s">
        <v>300</v>
      </c>
      <c r="BI1" s="293"/>
      <c r="BJ1" s="308">
        <v>0.01</v>
      </c>
      <c r="BK1" s="308"/>
    </row>
    <row r="2" spans="1:78" ht="15.75" hidden="1" x14ac:dyDescent="0.25">
      <c r="D2" s="1"/>
      <c r="E2" s="1"/>
      <c r="F2" s="2"/>
      <c r="H2" s="1"/>
      <c r="I2" s="1"/>
      <c r="J2" s="2"/>
      <c r="K2" s="2"/>
      <c r="L2" s="1"/>
      <c r="M2" s="1"/>
      <c r="N2" s="2"/>
      <c r="P2" s="1"/>
      <c r="Q2" s="1"/>
      <c r="R2" s="2"/>
      <c r="S2" s="2"/>
      <c r="T2" s="1"/>
      <c r="U2" s="1"/>
      <c r="V2" s="2"/>
      <c r="AA2" s="1"/>
      <c r="AB2" s="1"/>
      <c r="AC2" s="2"/>
      <c r="AI2" s="246"/>
      <c r="AJ2" s="246"/>
      <c r="AK2" s="246"/>
      <c r="AL2" s="468"/>
      <c r="AM2" s="468"/>
      <c r="AO2" s="246"/>
      <c r="AP2" s="246"/>
      <c r="AQ2" s="468"/>
      <c r="AR2" s="468"/>
      <c r="BD2" s="293" t="s">
        <v>271</v>
      </c>
      <c r="BE2" s="293" t="s">
        <v>220</v>
      </c>
      <c r="BF2" s="274">
        <v>2</v>
      </c>
      <c r="BG2" s="293" t="s">
        <v>228</v>
      </c>
      <c r="BH2" s="293" t="s">
        <v>300</v>
      </c>
      <c r="BI2" s="293"/>
      <c r="BJ2" s="308">
        <v>0.01</v>
      </c>
      <c r="BK2" s="308"/>
    </row>
    <row r="3" spans="1:78" s="8" customFormat="1" ht="30.75" hidden="1" customHeight="1" x14ac:dyDescent="0.2">
      <c r="A3" s="48" t="s">
        <v>134</v>
      </c>
      <c r="B3" s="47"/>
      <c r="D3" s="5" t="s">
        <v>96</v>
      </c>
      <c r="E3" s="6" t="s">
        <v>97</v>
      </c>
      <c r="F3" s="7" t="s">
        <v>98</v>
      </c>
      <c r="H3" s="5" t="s">
        <v>96</v>
      </c>
      <c r="I3" s="6" t="s">
        <v>97</v>
      </c>
      <c r="J3" s="7" t="s">
        <v>98</v>
      </c>
      <c r="K3" s="4"/>
      <c r="L3" s="5" t="s">
        <v>96</v>
      </c>
      <c r="M3" s="6" t="s">
        <v>97</v>
      </c>
      <c r="N3" s="7" t="s">
        <v>98</v>
      </c>
      <c r="P3" s="5" t="s">
        <v>96</v>
      </c>
      <c r="Q3" s="6" t="s">
        <v>97</v>
      </c>
      <c r="R3" s="7" t="s">
        <v>98</v>
      </c>
      <c r="S3" s="4"/>
      <c r="T3" s="5" t="s">
        <v>96</v>
      </c>
      <c r="U3" s="6" t="s">
        <v>97</v>
      </c>
      <c r="V3" s="7" t="s">
        <v>98</v>
      </c>
      <c r="AA3" s="5" t="s">
        <v>96</v>
      </c>
      <c r="AB3" s="6" t="s">
        <v>97</v>
      </c>
      <c r="AC3" s="7" t="s">
        <v>98</v>
      </c>
      <c r="AF3" s="237" t="s">
        <v>237</v>
      </c>
      <c r="AG3" s="239" t="s">
        <v>200</v>
      </c>
      <c r="AI3" s="247" t="s">
        <v>96</v>
      </c>
      <c r="AJ3" s="248" t="s">
        <v>97</v>
      </c>
      <c r="AK3" s="257" t="s">
        <v>98</v>
      </c>
      <c r="AL3" s="248" t="s">
        <v>97</v>
      </c>
      <c r="AM3" s="257" t="s">
        <v>98</v>
      </c>
      <c r="AO3" s="248" t="s">
        <v>97</v>
      </c>
      <c r="AP3" s="257" t="s">
        <v>98</v>
      </c>
      <c r="AQ3" s="248" t="s">
        <v>97</v>
      </c>
      <c r="AR3" s="257" t="s">
        <v>98</v>
      </c>
      <c r="BD3" s="274" t="s">
        <v>299</v>
      </c>
      <c r="BE3" s="274" t="s">
        <v>220</v>
      </c>
      <c r="BF3" s="274">
        <v>2</v>
      </c>
      <c r="BG3" s="306" t="s">
        <v>228</v>
      </c>
      <c r="BH3" s="274" t="s">
        <v>300</v>
      </c>
      <c r="BI3" s="293"/>
      <c r="BJ3" s="308">
        <v>0.01</v>
      </c>
      <c r="BK3" s="308">
        <v>0.03</v>
      </c>
    </row>
    <row r="4" spans="1:78" s="8" customFormat="1" ht="25.5" hidden="1" customHeight="1" x14ac:dyDescent="0.2">
      <c r="D4" s="9">
        <v>12</v>
      </c>
      <c r="E4" s="10"/>
      <c r="F4" s="39">
        <f>B20*100</f>
        <v>6.9</v>
      </c>
      <c r="H4" s="9">
        <v>12</v>
      </c>
      <c r="I4" s="10"/>
      <c r="J4" s="39">
        <f>B21*100</f>
        <v>6.5</v>
      </c>
      <c r="K4" s="4"/>
      <c r="L4" s="9">
        <v>12</v>
      </c>
      <c r="M4" s="10"/>
      <c r="N4" s="39">
        <f>B22*100</f>
        <v>5.5</v>
      </c>
      <c r="P4" s="9">
        <v>12</v>
      </c>
      <c r="Q4" s="10"/>
      <c r="R4" s="39">
        <f>C21*100</f>
        <v>5.0999999999999996</v>
      </c>
      <c r="S4" s="4"/>
      <c r="T4" s="9">
        <v>12</v>
      </c>
      <c r="U4" s="10"/>
      <c r="V4" s="39">
        <f>C22*100</f>
        <v>5.0999999999999996</v>
      </c>
      <c r="AA4" s="9">
        <v>12</v>
      </c>
      <c r="AB4" s="10"/>
      <c r="AC4" s="39">
        <f>B19*100</f>
        <v>7.3</v>
      </c>
      <c r="AE4" s="28" t="s">
        <v>30</v>
      </c>
      <c r="AF4" s="289" t="s">
        <v>31</v>
      </c>
      <c r="AG4" s="290"/>
      <c r="AI4" s="249">
        <v>12</v>
      </c>
      <c r="AJ4" s="250">
        <v>2015</v>
      </c>
      <c r="AK4" s="251">
        <f>AF20*100</f>
        <v>8.9</v>
      </c>
      <c r="AL4" s="250">
        <v>2016</v>
      </c>
      <c r="AM4" s="251">
        <f>AF21*100</f>
        <v>5.0999999999999996</v>
      </c>
      <c r="AO4" s="250">
        <v>2015</v>
      </c>
      <c r="AP4" s="251">
        <f>AG20*100</f>
        <v>15.8</v>
      </c>
      <c r="AQ4" s="250">
        <v>2016</v>
      </c>
      <c r="AR4" s="251">
        <f>AG21*100</f>
        <v>4.7</v>
      </c>
      <c r="BD4" s="274" t="s">
        <v>210</v>
      </c>
      <c r="BE4" s="274" t="s">
        <v>220</v>
      </c>
      <c r="BF4" s="274">
        <v>2</v>
      </c>
      <c r="BG4" s="306" t="s">
        <v>228</v>
      </c>
      <c r="BH4" s="293" t="s">
        <v>229</v>
      </c>
      <c r="BI4" s="297">
        <v>4.1000000000000002E-2</v>
      </c>
      <c r="BJ4" s="308">
        <v>0.01</v>
      </c>
      <c r="BK4" s="308">
        <v>0.03</v>
      </c>
    </row>
    <row r="5" spans="1:78" hidden="1" x14ac:dyDescent="0.2">
      <c r="D5" s="11">
        <v>1</v>
      </c>
      <c r="E5" s="12">
        <v>41275</v>
      </c>
      <c r="F5" s="13">
        <f t="shared" ref="F5:F24" si="0">F$4/D$4/100/2</f>
        <v>2.8750000000000004E-3</v>
      </c>
      <c r="H5" s="11">
        <v>1</v>
      </c>
      <c r="I5" s="12">
        <v>41640</v>
      </c>
      <c r="J5" s="13">
        <f t="shared" ref="J5:J24" si="1">J$4/H$4/100/2</f>
        <v>2.708333333333333E-3</v>
      </c>
      <c r="K5" s="4"/>
      <c r="L5" s="11">
        <v>1</v>
      </c>
      <c r="M5" s="12">
        <v>42005</v>
      </c>
      <c r="N5" s="13">
        <f>N$4/L$4/100/2</f>
        <v>2.2916666666666667E-3</v>
      </c>
      <c r="O5" s="141"/>
      <c r="P5" s="11">
        <v>1</v>
      </c>
      <c r="Q5" s="12">
        <v>41640</v>
      </c>
      <c r="R5" s="13">
        <f t="shared" ref="R5:R24" si="2">R$4/P$4/100/2</f>
        <v>2.1250000000000002E-3</v>
      </c>
      <c r="S5" s="4"/>
      <c r="T5" s="11">
        <v>1</v>
      </c>
      <c r="U5" s="12">
        <v>42005</v>
      </c>
      <c r="V5" s="13">
        <f>V$4/T$4/100/2</f>
        <v>2.1250000000000002E-3</v>
      </c>
      <c r="W5" s="4" t="s">
        <v>138</v>
      </c>
      <c r="AA5" s="11">
        <v>1</v>
      </c>
      <c r="AB5" s="12">
        <v>40909</v>
      </c>
      <c r="AC5" s="13">
        <f>AC$4/AA$4/100/2</f>
        <v>3.0416666666666665E-3</v>
      </c>
      <c r="AE5" s="29">
        <v>2000</v>
      </c>
      <c r="AF5" s="240"/>
      <c r="AG5" s="242"/>
      <c r="AI5" s="252">
        <v>1</v>
      </c>
      <c r="AJ5" s="253">
        <v>42005</v>
      </c>
      <c r="AK5" s="254">
        <f>AK$4/AI$4/100</f>
        <v>7.4166666666666669E-3</v>
      </c>
      <c r="AL5" s="253">
        <v>42370</v>
      </c>
      <c r="AM5" s="254">
        <f t="shared" ref="AM5:AM40" si="3">AM$4/AI$4/100</f>
        <v>4.2500000000000003E-3</v>
      </c>
      <c r="AO5" s="253">
        <v>42005</v>
      </c>
      <c r="AP5" s="254">
        <f t="shared" ref="AP5:AP40" si="4">AP$4/$AI$4/100</f>
        <v>1.3166666666666667E-2</v>
      </c>
      <c r="AQ5" s="253">
        <v>42370</v>
      </c>
      <c r="AR5" s="254">
        <f t="shared" ref="AR5:AR40" si="5">AR$4/$AI$4/100</f>
        <v>3.9166666666666664E-3</v>
      </c>
      <c r="BC5" s="272"/>
      <c r="BD5" s="274" t="s">
        <v>302</v>
      </c>
      <c r="BE5" s="274" t="s">
        <v>220</v>
      </c>
      <c r="BF5" s="274">
        <v>2</v>
      </c>
      <c r="BG5" s="306" t="s">
        <v>228</v>
      </c>
      <c r="BH5" s="293" t="s">
        <v>229</v>
      </c>
      <c r="BI5" s="297">
        <v>4.1000000000000002E-2</v>
      </c>
      <c r="BJ5" s="308">
        <v>0.01</v>
      </c>
      <c r="BK5" s="308">
        <v>0.03</v>
      </c>
      <c r="BL5" s="271"/>
      <c r="BM5" s="271"/>
      <c r="BN5" s="272"/>
      <c r="BO5" s="272"/>
      <c r="BP5" s="272"/>
      <c r="BQ5" s="272"/>
      <c r="BR5" s="272"/>
      <c r="BS5" s="272"/>
      <c r="BT5" s="272"/>
      <c r="BU5" s="272"/>
      <c r="BV5" s="272"/>
      <c r="BW5" s="272"/>
      <c r="BX5" s="272"/>
      <c r="BY5" s="272"/>
      <c r="BZ5" s="272"/>
    </row>
    <row r="6" spans="1:78" ht="25.5" hidden="1" x14ac:dyDescent="0.2">
      <c r="A6" s="28" t="s">
        <v>30</v>
      </c>
      <c r="B6" s="28" t="s">
        <v>31</v>
      </c>
      <c r="C6" s="28" t="s">
        <v>174</v>
      </c>
      <c r="D6" s="14">
        <v>2</v>
      </c>
      <c r="E6" s="12">
        <v>41276</v>
      </c>
      <c r="F6" s="15">
        <f t="shared" si="0"/>
        <v>2.8750000000000004E-3</v>
      </c>
      <c r="H6" s="14">
        <v>2</v>
      </c>
      <c r="I6" s="12">
        <v>41641</v>
      </c>
      <c r="J6" s="15">
        <f t="shared" si="1"/>
        <v>2.708333333333333E-3</v>
      </c>
      <c r="K6" s="4"/>
      <c r="L6" s="14">
        <v>2</v>
      </c>
      <c r="M6" s="12">
        <v>42006</v>
      </c>
      <c r="N6" s="15">
        <f>N$4/L$4/100/2</f>
        <v>2.2916666666666667E-3</v>
      </c>
      <c r="O6" s="141"/>
      <c r="P6" s="14">
        <v>2</v>
      </c>
      <c r="Q6" s="12">
        <v>41641</v>
      </c>
      <c r="R6" s="15">
        <f t="shared" si="2"/>
        <v>2.1250000000000002E-3</v>
      </c>
      <c r="S6" s="4"/>
      <c r="T6" s="14">
        <v>2</v>
      </c>
      <c r="U6" s="12">
        <v>42006</v>
      </c>
      <c r="V6" s="15">
        <f>V$4/T$4/100/2</f>
        <v>2.1250000000000002E-3</v>
      </c>
      <c r="W6" s="28" t="s">
        <v>30</v>
      </c>
      <c r="X6" s="28" t="s">
        <v>31</v>
      </c>
      <c r="Y6" s="28" t="s">
        <v>31</v>
      </c>
      <c r="AA6" s="14">
        <v>2</v>
      </c>
      <c r="AB6" s="12">
        <v>40910</v>
      </c>
      <c r="AC6" s="15">
        <f t="shared" ref="AC6:AC24" si="6">AC$4/AA$4/100/2</f>
        <v>3.0416666666666665E-3</v>
      </c>
      <c r="AE6" s="31">
        <v>2001</v>
      </c>
      <c r="AF6" s="241"/>
      <c r="AG6" s="243"/>
      <c r="AI6" s="255">
        <v>2</v>
      </c>
      <c r="AJ6" s="253">
        <v>42006</v>
      </c>
      <c r="AK6" s="256">
        <f t="shared" ref="AK6:AK40" si="7">AK$4/AI$4/100</f>
        <v>7.4166666666666669E-3</v>
      </c>
      <c r="AL6" s="253">
        <v>42371</v>
      </c>
      <c r="AM6" s="256">
        <f t="shared" si="3"/>
        <v>4.2500000000000003E-3</v>
      </c>
      <c r="AO6" s="253">
        <v>42006</v>
      </c>
      <c r="AP6" s="256">
        <f t="shared" si="4"/>
        <v>1.3166666666666667E-2</v>
      </c>
      <c r="AQ6" s="253">
        <v>42371</v>
      </c>
      <c r="AR6" s="256">
        <f t="shared" si="5"/>
        <v>3.9166666666666664E-3</v>
      </c>
      <c r="BC6" s="272"/>
      <c r="BD6" s="274" t="s">
        <v>204</v>
      </c>
      <c r="BE6" s="274" t="s">
        <v>220</v>
      </c>
      <c r="BF6" s="274">
        <v>2</v>
      </c>
      <c r="BG6" s="306" t="s">
        <v>228</v>
      </c>
      <c r="BH6" s="307" t="s">
        <v>229</v>
      </c>
      <c r="BI6" s="297">
        <f>4.1%*0.8</f>
        <v>3.2799999999999996E-2</v>
      </c>
      <c r="BJ6" s="308">
        <v>0.01</v>
      </c>
      <c r="BK6" s="308">
        <v>0.03</v>
      </c>
      <c r="BL6" s="271"/>
      <c r="BM6" s="271"/>
      <c r="BN6" s="272"/>
      <c r="BO6" s="272"/>
      <c r="BP6" s="272"/>
      <c r="BQ6" s="272"/>
      <c r="BR6" s="272"/>
      <c r="BS6" s="272"/>
      <c r="BT6" s="272"/>
      <c r="BU6" s="272"/>
      <c r="BV6" s="272"/>
      <c r="BW6" s="272"/>
      <c r="BX6" s="272"/>
      <c r="BY6" s="272"/>
      <c r="BZ6" s="272"/>
    </row>
    <row r="7" spans="1:78" hidden="1" x14ac:dyDescent="0.2">
      <c r="A7" s="29">
        <v>2000</v>
      </c>
      <c r="B7" s="30">
        <v>0.3332</v>
      </c>
      <c r="C7" s="30"/>
      <c r="D7" s="14">
        <v>3</v>
      </c>
      <c r="E7" s="12">
        <v>41277</v>
      </c>
      <c r="F7" s="15">
        <f t="shared" si="0"/>
        <v>2.8750000000000004E-3</v>
      </c>
      <c r="H7" s="14">
        <v>3</v>
      </c>
      <c r="I7" s="12">
        <v>41642</v>
      </c>
      <c r="J7" s="15">
        <f t="shared" si="1"/>
        <v>2.708333333333333E-3</v>
      </c>
      <c r="K7" s="4"/>
      <c r="L7" s="14">
        <v>3</v>
      </c>
      <c r="M7" s="12">
        <v>42007</v>
      </c>
      <c r="N7" s="15">
        <f t="shared" ref="N7:N24" si="8">N$4/L$4/100/2</f>
        <v>2.2916666666666667E-3</v>
      </c>
      <c r="O7" s="141"/>
      <c r="P7" s="14">
        <v>3</v>
      </c>
      <c r="Q7" s="12">
        <v>41642</v>
      </c>
      <c r="R7" s="15">
        <f t="shared" si="2"/>
        <v>2.1250000000000002E-3</v>
      </c>
      <c r="S7" s="4"/>
      <c r="T7" s="14">
        <v>3</v>
      </c>
      <c r="U7" s="12">
        <v>42007</v>
      </c>
      <c r="V7" s="15">
        <f t="shared" ref="V7:V24" si="9">V$4/T$4/100/2</f>
        <v>2.1250000000000002E-3</v>
      </c>
      <c r="W7" s="29">
        <v>2000</v>
      </c>
      <c r="X7" s="30"/>
      <c r="Y7" s="30"/>
      <c r="AA7" s="14">
        <v>3</v>
      </c>
      <c r="AB7" s="12">
        <v>40911</v>
      </c>
      <c r="AC7" s="15">
        <f t="shared" si="6"/>
        <v>3.0416666666666665E-3</v>
      </c>
      <c r="AE7" s="31">
        <v>2002</v>
      </c>
      <c r="AF7" s="241"/>
      <c r="AG7" s="243"/>
      <c r="AI7" s="255">
        <v>3</v>
      </c>
      <c r="AJ7" s="253">
        <v>42007</v>
      </c>
      <c r="AK7" s="256">
        <f t="shared" si="7"/>
        <v>7.4166666666666669E-3</v>
      </c>
      <c r="AL7" s="253">
        <v>42372</v>
      </c>
      <c r="AM7" s="256">
        <f t="shared" si="3"/>
        <v>4.2500000000000003E-3</v>
      </c>
      <c r="AO7" s="253">
        <v>42007</v>
      </c>
      <c r="AP7" s="256">
        <f t="shared" si="4"/>
        <v>1.3166666666666667E-2</v>
      </c>
      <c r="AQ7" s="253">
        <v>42372</v>
      </c>
      <c r="AR7" s="256">
        <f t="shared" si="5"/>
        <v>3.9166666666666664E-3</v>
      </c>
      <c r="BC7" s="272"/>
      <c r="BD7" s="274" t="s">
        <v>301</v>
      </c>
      <c r="BE7" s="274" t="s">
        <v>220</v>
      </c>
      <c r="BF7" s="274">
        <v>2</v>
      </c>
      <c r="BG7" s="306" t="s">
        <v>228</v>
      </c>
      <c r="BH7" s="293" t="s">
        <v>229</v>
      </c>
      <c r="BI7" s="297">
        <f>4.1%*0.8</f>
        <v>3.2799999999999996E-2</v>
      </c>
      <c r="BJ7" s="308">
        <v>0.01</v>
      </c>
      <c r="BK7" s="308">
        <v>0.03</v>
      </c>
      <c r="BL7" s="271"/>
      <c r="BM7" s="271"/>
      <c r="BN7" s="272"/>
      <c r="BO7" s="272"/>
      <c r="BP7" s="272"/>
      <c r="BQ7" s="272"/>
      <c r="BR7" s="272"/>
      <c r="BS7" s="272"/>
      <c r="BT7" s="272"/>
      <c r="BU7" s="272"/>
      <c r="BV7" s="272"/>
      <c r="BW7" s="272"/>
      <c r="BX7" s="272"/>
      <c r="BY7" s="272"/>
      <c r="BZ7" s="272"/>
    </row>
    <row r="8" spans="1:78" ht="12" hidden="1" customHeight="1" x14ac:dyDescent="0.2">
      <c r="A8" s="31">
        <v>2001</v>
      </c>
      <c r="B8" s="32">
        <v>0.27579999999999999</v>
      </c>
      <c r="C8" s="32"/>
      <c r="D8" s="14">
        <v>4</v>
      </c>
      <c r="E8" s="12">
        <v>41278</v>
      </c>
      <c r="F8" s="15">
        <f t="shared" si="0"/>
        <v>2.8750000000000004E-3</v>
      </c>
      <c r="H8" s="14">
        <v>4</v>
      </c>
      <c r="I8" s="12">
        <v>41643</v>
      </c>
      <c r="J8" s="15">
        <f t="shared" si="1"/>
        <v>2.708333333333333E-3</v>
      </c>
      <c r="K8" s="4"/>
      <c r="L8" s="14">
        <v>4</v>
      </c>
      <c r="M8" s="12">
        <v>42008</v>
      </c>
      <c r="N8" s="15">
        <f t="shared" si="8"/>
        <v>2.2916666666666667E-3</v>
      </c>
      <c r="O8" s="141"/>
      <c r="P8" s="14">
        <v>4</v>
      </c>
      <c r="Q8" s="12">
        <v>41643</v>
      </c>
      <c r="R8" s="15">
        <f t="shared" si="2"/>
        <v>2.1250000000000002E-3</v>
      </c>
      <c r="S8" s="4"/>
      <c r="T8" s="14">
        <v>4</v>
      </c>
      <c r="U8" s="12">
        <v>42008</v>
      </c>
      <c r="V8" s="15">
        <f t="shared" si="9"/>
        <v>2.1250000000000002E-3</v>
      </c>
      <c r="W8" s="31">
        <v>2001</v>
      </c>
      <c r="X8" s="32"/>
      <c r="Y8" s="32"/>
      <c r="AA8" s="14">
        <v>4</v>
      </c>
      <c r="AB8" s="12">
        <v>40912</v>
      </c>
      <c r="AC8" s="15">
        <f t="shared" si="6"/>
        <v>3.0416666666666665E-3</v>
      </c>
      <c r="AE8" s="31">
        <v>2003</v>
      </c>
      <c r="AF8" s="241"/>
      <c r="AG8" s="243"/>
      <c r="AI8" s="255">
        <v>4</v>
      </c>
      <c r="AJ8" s="253">
        <v>42008</v>
      </c>
      <c r="AK8" s="256">
        <f t="shared" si="7"/>
        <v>7.4166666666666669E-3</v>
      </c>
      <c r="AL8" s="253">
        <v>42373</v>
      </c>
      <c r="AM8" s="256">
        <f t="shared" si="3"/>
        <v>4.2500000000000003E-3</v>
      </c>
      <c r="AO8" s="253">
        <v>42008</v>
      </c>
      <c r="AP8" s="256">
        <f t="shared" si="4"/>
        <v>1.3166666666666667E-2</v>
      </c>
      <c r="AQ8" s="253">
        <v>42373</v>
      </c>
      <c r="AR8" s="256">
        <f t="shared" si="5"/>
        <v>3.9166666666666664E-3</v>
      </c>
      <c r="BC8" s="272"/>
      <c r="BD8" s="274" t="s">
        <v>293</v>
      </c>
      <c r="BE8" s="274" t="s">
        <v>220</v>
      </c>
      <c r="BF8" s="274">
        <v>2</v>
      </c>
      <c r="BG8" s="306" t="s">
        <v>228</v>
      </c>
      <c r="BH8" s="293" t="s">
        <v>229</v>
      </c>
      <c r="BI8" s="297">
        <f>4.1%*0.8</f>
        <v>3.2799999999999996E-2</v>
      </c>
      <c r="BJ8" s="308">
        <v>0.01</v>
      </c>
      <c r="BK8" s="308">
        <v>0.03</v>
      </c>
      <c r="BL8" s="271"/>
      <c r="BM8" s="271"/>
      <c r="BN8" s="272"/>
      <c r="BO8" s="272"/>
      <c r="BP8" s="272"/>
      <c r="BQ8" s="272"/>
      <c r="BR8" s="272"/>
      <c r="BS8" s="272"/>
      <c r="BT8" s="272"/>
      <c r="BU8" s="272"/>
      <c r="BV8" s="272"/>
      <c r="BW8" s="272"/>
      <c r="BX8" s="272"/>
      <c r="BY8" s="272"/>
      <c r="BZ8" s="272"/>
    </row>
    <row r="9" spans="1:78" hidden="1" x14ac:dyDescent="0.2">
      <c r="A9" s="31">
        <v>2002</v>
      </c>
      <c r="B9" s="32">
        <v>0.12640000000000001</v>
      </c>
      <c r="C9" s="32"/>
      <c r="D9" s="14">
        <v>5</v>
      </c>
      <c r="E9" s="12">
        <v>41279</v>
      </c>
      <c r="F9" s="15">
        <f t="shared" si="0"/>
        <v>2.8750000000000004E-3</v>
      </c>
      <c r="H9" s="14">
        <v>5</v>
      </c>
      <c r="I9" s="12">
        <v>41644</v>
      </c>
      <c r="J9" s="15">
        <f t="shared" si="1"/>
        <v>2.708333333333333E-3</v>
      </c>
      <c r="K9" s="4"/>
      <c r="L9" s="14">
        <v>5</v>
      </c>
      <c r="M9" s="12">
        <v>42009</v>
      </c>
      <c r="N9" s="15">
        <f t="shared" si="8"/>
        <v>2.2916666666666667E-3</v>
      </c>
      <c r="O9" s="141"/>
      <c r="P9" s="14">
        <v>5</v>
      </c>
      <c r="Q9" s="12">
        <v>41644</v>
      </c>
      <c r="R9" s="15">
        <f t="shared" si="2"/>
        <v>2.1250000000000002E-3</v>
      </c>
      <c r="S9" s="4"/>
      <c r="T9" s="14">
        <v>5</v>
      </c>
      <c r="U9" s="12">
        <v>42009</v>
      </c>
      <c r="V9" s="15">
        <f t="shared" si="9"/>
        <v>2.1250000000000002E-3</v>
      </c>
      <c r="W9" s="31">
        <v>2002</v>
      </c>
      <c r="X9" s="32"/>
      <c r="Y9" s="32"/>
      <c r="AA9" s="14">
        <v>5</v>
      </c>
      <c r="AB9" s="12">
        <v>40913</v>
      </c>
      <c r="AC9" s="15">
        <f t="shared" si="6"/>
        <v>3.0416666666666665E-3</v>
      </c>
      <c r="AE9" s="31">
        <v>2004</v>
      </c>
      <c r="AF9" s="241"/>
      <c r="AG9" s="243"/>
      <c r="AI9" s="255">
        <v>5</v>
      </c>
      <c r="AJ9" s="253">
        <v>42009</v>
      </c>
      <c r="AK9" s="256">
        <f t="shared" si="7"/>
        <v>7.4166666666666669E-3</v>
      </c>
      <c r="AL9" s="253">
        <v>42374</v>
      </c>
      <c r="AM9" s="256">
        <f t="shared" si="3"/>
        <v>4.2500000000000003E-3</v>
      </c>
      <c r="AO9" s="253">
        <v>42009</v>
      </c>
      <c r="AP9" s="256">
        <f t="shared" si="4"/>
        <v>1.3166666666666667E-2</v>
      </c>
      <c r="AQ9" s="253">
        <v>42374</v>
      </c>
      <c r="AR9" s="256">
        <f t="shared" si="5"/>
        <v>3.9166666666666664E-3</v>
      </c>
      <c r="BC9" s="272"/>
      <c r="BD9" s="274" t="s">
        <v>338</v>
      </c>
      <c r="BE9" s="274" t="s">
        <v>220</v>
      </c>
      <c r="BF9" s="274">
        <v>2</v>
      </c>
      <c r="BG9" s="306" t="s">
        <v>228</v>
      </c>
      <c r="BH9" s="293" t="s">
        <v>229</v>
      </c>
      <c r="BI9" s="297">
        <f>4.1%*0.8</f>
        <v>3.2799999999999996E-2</v>
      </c>
      <c r="BJ9" s="308">
        <v>0.01</v>
      </c>
      <c r="BK9" s="308">
        <v>0.03</v>
      </c>
      <c r="BL9" s="271"/>
      <c r="BM9" s="271"/>
      <c r="BN9" s="272"/>
      <c r="BO9" s="272"/>
      <c r="BP9" s="272"/>
      <c r="BQ9" s="272"/>
      <c r="BR9" s="272"/>
      <c r="BS9" s="272"/>
      <c r="BT9" s="272"/>
      <c r="BU9" s="272"/>
      <c r="BV9" s="272"/>
      <c r="BW9" s="272"/>
      <c r="BX9" s="272"/>
      <c r="BY9" s="272"/>
      <c r="BZ9" s="272"/>
    </row>
    <row r="10" spans="1:78" hidden="1" x14ac:dyDescent="0.2">
      <c r="A10" s="31">
        <v>2003</v>
      </c>
      <c r="B10" s="32">
        <v>0.14940000000000001</v>
      </c>
      <c r="C10" s="32"/>
      <c r="D10" s="14">
        <v>6</v>
      </c>
      <c r="E10" s="12">
        <v>41280</v>
      </c>
      <c r="F10" s="15">
        <f t="shared" si="0"/>
        <v>2.8750000000000004E-3</v>
      </c>
      <c r="H10" s="14">
        <v>6</v>
      </c>
      <c r="I10" s="12">
        <v>41645</v>
      </c>
      <c r="J10" s="15">
        <f t="shared" si="1"/>
        <v>2.708333333333333E-3</v>
      </c>
      <c r="K10" s="4"/>
      <c r="L10" s="14">
        <v>6</v>
      </c>
      <c r="M10" s="12">
        <v>42010</v>
      </c>
      <c r="N10" s="15">
        <f t="shared" si="8"/>
        <v>2.2916666666666667E-3</v>
      </c>
      <c r="O10" s="141"/>
      <c r="P10" s="14">
        <v>6</v>
      </c>
      <c r="Q10" s="12">
        <v>41645</v>
      </c>
      <c r="R10" s="15">
        <f t="shared" si="2"/>
        <v>2.1250000000000002E-3</v>
      </c>
      <c r="S10" s="4"/>
      <c r="T10" s="14">
        <v>6</v>
      </c>
      <c r="U10" s="12">
        <v>42010</v>
      </c>
      <c r="V10" s="15">
        <f t="shared" si="9"/>
        <v>2.1250000000000002E-3</v>
      </c>
      <c r="W10" s="31">
        <v>2003</v>
      </c>
      <c r="X10" s="32"/>
      <c r="Y10" s="32"/>
      <c r="AA10" s="14">
        <v>6</v>
      </c>
      <c r="AB10" s="12">
        <v>40914</v>
      </c>
      <c r="AC10" s="15">
        <f t="shared" si="6"/>
        <v>3.0416666666666665E-3</v>
      </c>
      <c r="AE10" s="31">
        <v>2005</v>
      </c>
      <c r="AF10" s="241"/>
      <c r="AG10" s="243">
        <v>0.127</v>
      </c>
      <c r="AI10" s="255">
        <v>6</v>
      </c>
      <c r="AJ10" s="253">
        <v>42010</v>
      </c>
      <c r="AK10" s="256">
        <f t="shared" si="7"/>
        <v>7.4166666666666669E-3</v>
      </c>
      <c r="AL10" s="253">
        <v>42375</v>
      </c>
      <c r="AM10" s="256">
        <f t="shared" si="3"/>
        <v>4.2500000000000003E-3</v>
      </c>
      <c r="AO10" s="253">
        <v>42010</v>
      </c>
      <c r="AP10" s="256">
        <f t="shared" si="4"/>
        <v>1.3166666666666667E-2</v>
      </c>
      <c r="AQ10" s="253">
        <v>42375</v>
      </c>
      <c r="AR10" s="256">
        <f t="shared" si="5"/>
        <v>3.9166666666666664E-3</v>
      </c>
      <c r="AT10" s="44">
        <f>AG10+1</f>
        <v>1.127</v>
      </c>
      <c r="BC10" s="272"/>
      <c r="BD10" s="274" t="s">
        <v>292</v>
      </c>
      <c r="BE10" s="274" t="s">
        <v>220</v>
      </c>
      <c r="BF10" s="274">
        <v>2</v>
      </c>
      <c r="BG10" s="306" t="s">
        <v>228</v>
      </c>
      <c r="BH10" s="293" t="s">
        <v>229</v>
      </c>
      <c r="BI10" s="297">
        <f>4.1%*0.8</f>
        <v>3.2799999999999996E-2</v>
      </c>
      <c r="BJ10" s="308">
        <v>0.01</v>
      </c>
      <c r="BK10" s="308">
        <v>0.03</v>
      </c>
      <c r="BL10" s="271"/>
      <c r="BM10" s="271"/>
      <c r="BN10" s="272"/>
      <c r="BO10" s="272"/>
      <c r="BP10" s="272"/>
      <c r="BQ10" s="272"/>
      <c r="BR10" s="272"/>
      <c r="BS10" s="272"/>
      <c r="BT10" s="272"/>
      <c r="BU10" s="272"/>
      <c r="BV10" s="272"/>
      <c r="BW10" s="272"/>
      <c r="BX10" s="272"/>
      <c r="BY10" s="272"/>
      <c r="BZ10" s="272"/>
    </row>
    <row r="11" spans="1:78" hidden="1" x14ac:dyDescent="0.2">
      <c r="A11" s="31">
        <v>2004</v>
      </c>
      <c r="B11" s="32">
        <v>0.158</v>
      </c>
      <c r="C11" s="32"/>
      <c r="D11" s="14">
        <v>7</v>
      </c>
      <c r="E11" s="12">
        <v>41281</v>
      </c>
      <c r="F11" s="15">
        <f t="shared" si="0"/>
        <v>2.8750000000000004E-3</v>
      </c>
      <c r="H11" s="14">
        <v>7</v>
      </c>
      <c r="I11" s="12">
        <v>41646</v>
      </c>
      <c r="J11" s="15">
        <f t="shared" si="1"/>
        <v>2.708333333333333E-3</v>
      </c>
      <c r="K11" s="4"/>
      <c r="L11" s="14">
        <v>7</v>
      </c>
      <c r="M11" s="12">
        <v>42011</v>
      </c>
      <c r="N11" s="15">
        <f t="shared" si="8"/>
        <v>2.2916666666666667E-3</v>
      </c>
      <c r="O11" s="141"/>
      <c r="P11" s="14">
        <v>7</v>
      </c>
      <c r="Q11" s="12">
        <v>41646</v>
      </c>
      <c r="R11" s="15">
        <f t="shared" si="2"/>
        <v>2.1250000000000002E-3</v>
      </c>
      <c r="S11" s="4"/>
      <c r="T11" s="14">
        <v>7</v>
      </c>
      <c r="U11" s="12">
        <v>42011</v>
      </c>
      <c r="V11" s="15">
        <f t="shared" si="9"/>
        <v>2.1250000000000002E-3</v>
      </c>
      <c r="W11" s="31">
        <v>2004</v>
      </c>
      <c r="X11" s="32"/>
      <c r="Y11" s="32"/>
      <c r="AA11" s="14">
        <v>7</v>
      </c>
      <c r="AB11" s="12">
        <v>40915</v>
      </c>
      <c r="AC11" s="15">
        <f t="shared" si="6"/>
        <v>3.0416666666666665E-3</v>
      </c>
      <c r="AE11" s="31">
        <v>2006</v>
      </c>
      <c r="AF11" s="291">
        <v>0.122</v>
      </c>
      <c r="AG11" s="243">
        <v>9.7000000000000003E-2</v>
      </c>
      <c r="AH11" s="4">
        <v>9.6999999999999993</v>
      </c>
      <c r="AI11" s="255">
        <v>7</v>
      </c>
      <c r="AJ11" s="253">
        <v>42011</v>
      </c>
      <c r="AK11" s="256">
        <f t="shared" si="7"/>
        <v>7.4166666666666669E-3</v>
      </c>
      <c r="AL11" s="253">
        <v>42376</v>
      </c>
      <c r="AM11" s="256">
        <f t="shared" si="3"/>
        <v>4.2500000000000003E-3</v>
      </c>
      <c r="AO11" s="253">
        <v>42011</v>
      </c>
      <c r="AP11" s="256">
        <f t="shared" si="4"/>
        <v>1.3166666666666667E-2</v>
      </c>
      <c r="AQ11" s="253">
        <v>42376</v>
      </c>
      <c r="AR11" s="256">
        <f t="shared" si="5"/>
        <v>3.9166666666666664E-3</v>
      </c>
      <c r="AT11" s="44">
        <f t="shared" ref="AT11:AT18" si="10">AG11+1</f>
        <v>1.097</v>
      </c>
      <c r="BC11" s="272"/>
      <c r="BD11" s="274" t="s">
        <v>339</v>
      </c>
      <c r="BE11" s="274" t="s">
        <v>220</v>
      </c>
      <c r="BF11" s="274">
        <v>2</v>
      </c>
      <c r="BG11" s="306" t="s">
        <v>228</v>
      </c>
      <c r="BH11" s="293" t="s">
        <v>229</v>
      </c>
      <c r="BI11" s="297">
        <f>2.5%*0.8</f>
        <v>2.0000000000000004E-2</v>
      </c>
      <c r="BJ11" s="308">
        <v>0.01</v>
      </c>
      <c r="BK11" s="308">
        <v>0.03</v>
      </c>
      <c r="BL11" s="271"/>
      <c r="BM11" s="271"/>
      <c r="BN11" s="272"/>
      <c r="BO11" s="272"/>
      <c r="BP11" s="272"/>
      <c r="BQ11" s="272"/>
      <c r="BR11" s="272"/>
      <c r="BS11" s="272"/>
      <c r="BT11" s="272"/>
      <c r="BU11" s="272"/>
      <c r="BV11" s="272"/>
      <c r="BW11" s="272"/>
      <c r="BX11" s="272"/>
      <c r="BY11" s="272"/>
      <c r="BZ11" s="272"/>
    </row>
    <row r="12" spans="1:78" hidden="1" x14ac:dyDescent="0.2">
      <c r="A12" s="31">
        <v>2005</v>
      </c>
      <c r="B12" s="32">
        <v>0.13289999999999999</v>
      </c>
      <c r="C12" s="32"/>
      <c r="D12" s="14">
        <v>8</v>
      </c>
      <c r="E12" s="12">
        <v>41282</v>
      </c>
      <c r="F12" s="15">
        <f t="shared" si="0"/>
        <v>2.8750000000000004E-3</v>
      </c>
      <c r="H12" s="14">
        <v>8</v>
      </c>
      <c r="I12" s="12">
        <v>41647</v>
      </c>
      <c r="J12" s="15">
        <f t="shared" si="1"/>
        <v>2.708333333333333E-3</v>
      </c>
      <c r="K12" s="4"/>
      <c r="L12" s="14">
        <v>8</v>
      </c>
      <c r="M12" s="12">
        <v>42012</v>
      </c>
      <c r="N12" s="15">
        <f t="shared" si="8"/>
        <v>2.2916666666666667E-3</v>
      </c>
      <c r="O12" s="141"/>
      <c r="P12" s="14">
        <v>8</v>
      </c>
      <c r="Q12" s="12">
        <v>41647</v>
      </c>
      <c r="R12" s="15">
        <f t="shared" si="2"/>
        <v>2.1250000000000002E-3</v>
      </c>
      <c r="S12" s="4"/>
      <c r="T12" s="14">
        <v>8</v>
      </c>
      <c r="U12" s="12">
        <v>42012</v>
      </c>
      <c r="V12" s="15">
        <f t="shared" si="9"/>
        <v>2.1250000000000002E-3</v>
      </c>
      <c r="W12" s="31">
        <v>2005</v>
      </c>
      <c r="X12" s="32"/>
      <c r="Y12" s="32"/>
      <c r="AA12" s="14">
        <v>8</v>
      </c>
      <c r="AB12" s="12">
        <v>40916</v>
      </c>
      <c r="AC12" s="15">
        <f t="shared" si="6"/>
        <v>3.0416666666666665E-3</v>
      </c>
      <c r="AE12" s="31">
        <v>2007</v>
      </c>
      <c r="AF12" s="291">
        <v>0.157</v>
      </c>
      <c r="AG12" s="243">
        <v>8.1000000000000003E-2</v>
      </c>
      <c r="AH12" s="4">
        <v>8.1</v>
      </c>
      <c r="AI12" s="255">
        <v>8</v>
      </c>
      <c r="AJ12" s="253">
        <v>42012</v>
      </c>
      <c r="AK12" s="256">
        <f t="shared" si="7"/>
        <v>7.4166666666666669E-3</v>
      </c>
      <c r="AL12" s="253">
        <v>42377</v>
      </c>
      <c r="AM12" s="256">
        <f t="shared" si="3"/>
        <v>4.2500000000000003E-3</v>
      </c>
      <c r="AO12" s="253">
        <v>42012</v>
      </c>
      <c r="AP12" s="256">
        <f t="shared" si="4"/>
        <v>1.3166666666666667E-2</v>
      </c>
      <c r="AQ12" s="253">
        <v>42377</v>
      </c>
      <c r="AR12" s="256">
        <f t="shared" si="5"/>
        <v>3.9166666666666664E-3</v>
      </c>
      <c r="AT12" s="44">
        <f t="shared" si="10"/>
        <v>1.081</v>
      </c>
      <c r="BC12" s="272"/>
      <c r="BD12" s="274" t="s">
        <v>205</v>
      </c>
      <c r="BE12" s="274" t="s">
        <v>220</v>
      </c>
      <c r="BF12" s="274">
        <v>2</v>
      </c>
      <c r="BG12" s="306" t="s">
        <v>228</v>
      </c>
      <c r="BH12" s="293" t="s">
        <v>229</v>
      </c>
      <c r="BI12" s="293"/>
      <c r="BJ12" s="308">
        <v>0.01</v>
      </c>
      <c r="BK12" s="308"/>
      <c r="BL12" s="271"/>
      <c r="BM12" s="271"/>
      <c r="BN12" s="272"/>
      <c r="BO12" s="272"/>
      <c r="BP12" s="272"/>
      <c r="BQ12" s="272"/>
      <c r="BR12" s="272"/>
      <c r="BS12" s="272"/>
      <c r="BT12" s="272"/>
      <c r="BU12" s="272"/>
      <c r="BV12" s="272"/>
      <c r="BW12" s="272"/>
      <c r="BX12" s="272"/>
      <c r="BY12" s="272"/>
      <c r="BZ12" s="272"/>
    </row>
    <row r="13" spans="1:78" hidden="1" x14ac:dyDescent="0.2">
      <c r="A13" s="31">
        <v>2006</v>
      </c>
      <c r="B13" s="32">
        <v>0.111</v>
      </c>
      <c r="C13" s="32"/>
      <c r="D13" s="14">
        <v>9</v>
      </c>
      <c r="E13" s="12">
        <v>41283</v>
      </c>
      <c r="F13" s="15">
        <f t="shared" si="0"/>
        <v>2.8750000000000004E-3</v>
      </c>
      <c r="H13" s="14">
        <v>9</v>
      </c>
      <c r="I13" s="12">
        <v>41648</v>
      </c>
      <c r="J13" s="15">
        <f t="shared" si="1"/>
        <v>2.708333333333333E-3</v>
      </c>
      <c r="K13" s="4"/>
      <c r="L13" s="14">
        <v>9</v>
      </c>
      <c r="M13" s="12">
        <v>42013</v>
      </c>
      <c r="N13" s="15">
        <f t="shared" si="8"/>
        <v>2.2916666666666667E-3</v>
      </c>
      <c r="O13" s="141"/>
      <c r="P13" s="14">
        <v>9</v>
      </c>
      <c r="Q13" s="12">
        <v>41648</v>
      </c>
      <c r="R13" s="15">
        <f t="shared" si="2"/>
        <v>2.1250000000000002E-3</v>
      </c>
      <c r="S13" s="4"/>
      <c r="T13" s="14">
        <v>9</v>
      </c>
      <c r="U13" s="12">
        <v>42013</v>
      </c>
      <c r="V13" s="15">
        <f t="shared" si="9"/>
        <v>2.1250000000000002E-3</v>
      </c>
      <c r="W13" s="31">
        <v>2006</v>
      </c>
      <c r="X13" s="32" t="s">
        <v>191</v>
      </c>
      <c r="Y13" s="32"/>
      <c r="AA13" s="14">
        <v>9</v>
      </c>
      <c r="AB13" s="12">
        <v>40917</v>
      </c>
      <c r="AC13" s="15">
        <f t="shared" si="6"/>
        <v>3.0416666666666665E-3</v>
      </c>
      <c r="AE13" s="31">
        <v>2008</v>
      </c>
      <c r="AF13" s="241">
        <v>0.185</v>
      </c>
      <c r="AG13" s="243">
        <v>0.14099999999999999</v>
      </c>
      <c r="AI13" s="255">
        <v>9</v>
      </c>
      <c r="AJ13" s="253">
        <v>42013</v>
      </c>
      <c r="AK13" s="256">
        <f t="shared" si="7"/>
        <v>7.4166666666666669E-3</v>
      </c>
      <c r="AL13" s="253">
        <v>42378</v>
      </c>
      <c r="AM13" s="256">
        <f t="shared" si="3"/>
        <v>4.2500000000000003E-3</v>
      </c>
      <c r="AO13" s="253">
        <v>42013</v>
      </c>
      <c r="AP13" s="256">
        <f t="shared" si="4"/>
        <v>1.3166666666666667E-2</v>
      </c>
      <c r="AQ13" s="253">
        <v>42378</v>
      </c>
      <c r="AR13" s="256">
        <f t="shared" si="5"/>
        <v>3.9166666666666664E-3</v>
      </c>
      <c r="AT13" s="287">
        <f t="shared" si="10"/>
        <v>1.141</v>
      </c>
      <c r="AU13" s="44">
        <f>AG13+1</f>
        <v>1.141</v>
      </c>
      <c r="BC13" s="272"/>
      <c r="BD13" s="274" t="s">
        <v>269</v>
      </c>
      <c r="BE13" s="274" t="s">
        <v>220</v>
      </c>
      <c r="BF13" s="274">
        <v>2</v>
      </c>
      <c r="BG13" s="306" t="s">
        <v>228</v>
      </c>
      <c r="BH13" s="293" t="s">
        <v>229</v>
      </c>
      <c r="BI13" s="293"/>
      <c r="BJ13" s="308">
        <v>0.01</v>
      </c>
      <c r="BK13" s="308"/>
      <c r="BL13" s="271"/>
      <c r="BM13" s="271"/>
      <c r="BN13" s="272"/>
      <c r="BO13" s="272"/>
      <c r="BP13" s="272"/>
      <c r="BQ13" s="272"/>
      <c r="BR13" s="272"/>
      <c r="BS13" s="272"/>
      <c r="BT13" s="272"/>
      <c r="BU13" s="272"/>
      <c r="BV13" s="272"/>
      <c r="BW13" s="272"/>
      <c r="BX13" s="272"/>
      <c r="BY13" s="272"/>
      <c r="BZ13" s="272"/>
    </row>
    <row r="14" spans="1:78" hidden="1" x14ac:dyDescent="0.2">
      <c r="A14" s="31">
        <v>2007</v>
      </c>
      <c r="B14" s="32">
        <v>0.11600000000000001</v>
      </c>
      <c r="C14" s="32"/>
      <c r="D14" s="14">
        <v>10</v>
      </c>
      <c r="E14" s="12">
        <v>41284</v>
      </c>
      <c r="F14" s="15">
        <f t="shared" si="0"/>
        <v>2.8750000000000004E-3</v>
      </c>
      <c r="H14" s="14">
        <v>10</v>
      </c>
      <c r="I14" s="12">
        <v>41649</v>
      </c>
      <c r="J14" s="15">
        <f t="shared" si="1"/>
        <v>2.708333333333333E-3</v>
      </c>
      <c r="K14" s="4"/>
      <c r="L14" s="14">
        <v>10</v>
      </c>
      <c r="M14" s="12">
        <v>42014</v>
      </c>
      <c r="N14" s="15">
        <f t="shared" si="8"/>
        <v>2.2916666666666667E-3</v>
      </c>
      <c r="O14" s="141"/>
      <c r="P14" s="14">
        <v>10</v>
      </c>
      <c r="Q14" s="12">
        <v>41649</v>
      </c>
      <c r="R14" s="15">
        <f t="shared" si="2"/>
        <v>2.1250000000000002E-3</v>
      </c>
      <c r="S14" s="4"/>
      <c r="T14" s="14">
        <v>10</v>
      </c>
      <c r="U14" s="12">
        <v>42014</v>
      </c>
      <c r="V14" s="15">
        <f t="shared" si="9"/>
        <v>2.1250000000000002E-3</v>
      </c>
      <c r="W14" s="31">
        <v>2007</v>
      </c>
      <c r="X14" s="32">
        <v>0.09</v>
      </c>
      <c r="Y14" s="32"/>
      <c r="Z14" s="190" t="s">
        <v>190</v>
      </c>
      <c r="AA14" s="14">
        <v>10</v>
      </c>
      <c r="AB14" s="12">
        <v>40918</v>
      </c>
      <c r="AC14" s="15">
        <f t="shared" si="6"/>
        <v>3.0416666666666665E-3</v>
      </c>
      <c r="AE14" s="31">
        <v>2009</v>
      </c>
      <c r="AF14" s="241">
        <v>7.6999999999999999E-2</v>
      </c>
      <c r="AG14" s="243">
        <v>0.11700000000000001</v>
      </c>
      <c r="AI14" s="255">
        <v>10</v>
      </c>
      <c r="AJ14" s="253">
        <v>42014</v>
      </c>
      <c r="AK14" s="256">
        <f t="shared" si="7"/>
        <v>7.4166666666666669E-3</v>
      </c>
      <c r="AL14" s="253">
        <v>42379</v>
      </c>
      <c r="AM14" s="256">
        <f t="shared" si="3"/>
        <v>4.2500000000000003E-3</v>
      </c>
      <c r="AO14" s="253">
        <v>42014</v>
      </c>
      <c r="AP14" s="256">
        <f t="shared" si="4"/>
        <v>1.3166666666666667E-2</v>
      </c>
      <c r="AQ14" s="253">
        <v>42379</v>
      </c>
      <c r="AR14" s="256">
        <f t="shared" si="5"/>
        <v>3.9166666666666664E-3</v>
      </c>
      <c r="AT14" s="44">
        <f t="shared" si="10"/>
        <v>1.117</v>
      </c>
      <c r="AU14" s="44">
        <f t="shared" ref="AU14:AU20" si="11">AG14+1</f>
        <v>1.117</v>
      </c>
      <c r="BC14" s="272"/>
      <c r="BD14" s="274" t="s">
        <v>273</v>
      </c>
      <c r="BE14" s="274" t="s">
        <v>220</v>
      </c>
      <c r="BF14" s="274">
        <v>2</v>
      </c>
      <c r="BG14" s="306" t="s">
        <v>228</v>
      </c>
      <c r="BH14" s="293" t="s">
        <v>300</v>
      </c>
      <c r="BI14" s="293"/>
      <c r="BJ14" s="308">
        <v>0.01</v>
      </c>
      <c r="BK14" s="308"/>
      <c r="BL14" s="271"/>
      <c r="BM14" s="271"/>
      <c r="BN14" s="272"/>
      <c r="BO14" s="272"/>
      <c r="BP14" s="272"/>
      <c r="BQ14" s="272"/>
      <c r="BR14" s="272"/>
      <c r="BS14" s="272"/>
      <c r="BT14" s="272"/>
      <c r="BU14" s="272"/>
      <c r="BV14" s="272"/>
      <c r="BW14" s="272"/>
      <c r="BX14" s="272"/>
      <c r="BY14" s="272"/>
      <c r="BZ14" s="272"/>
    </row>
    <row r="15" spans="1:78" hidden="1" x14ac:dyDescent="0.2">
      <c r="A15" s="31">
        <v>2008</v>
      </c>
      <c r="B15" s="32">
        <v>8.7999999999999995E-2</v>
      </c>
      <c r="C15" s="32">
        <v>0.185</v>
      </c>
      <c r="D15" s="14">
        <v>11</v>
      </c>
      <c r="E15" s="12">
        <v>41285</v>
      </c>
      <c r="F15" s="15">
        <f t="shared" si="0"/>
        <v>2.8750000000000004E-3</v>
      </c>
      <c r="H15" s="14">
        <v>11</v>
      </c>
      <c r="I15" s="12">
        <v>41650</v>
      </c>
      <c r="J15" s="15">
        <f t="shared" si="1"/>
        <v>2.708333333333333E-3</v>
      </c>
      <c r="K15" s="4"/>
      <c r="L15" s="14">
        <v>11</v>
      </c>
      <c r="M15" s="12">
        <v>42015</v>
      </c>
      <c r="N15" s="15">
        <f t="shared" si="8"/>
        <v>2.2916666666666667E-3</v>
      </c>
      <c r="O15" s="141"/>
      <c r="P15" s="14">
        <v>11</v>
      </c>
      <c r="Q15" s="12">
        <v>41650</v>
      </c>
      <c r="R15" s="15">
        <f t="shared" si="2"/>
        <v>2.1250000000000002E-3</v>
      </c>
      <c r="S15" s="4"/>
      <c r="T15" s="14">
        <v>11</v>
      </c>
      <c r="U15" s="12">
        <v>42015</v>
      </c>
      <c r="V15" s="15">
        <f t="shared" si="9"/>
        <v>2.1250000000000002E-3</v>
      </c>
      <c r="W15" s="31">
        <v>2008</v>
      </c>
      <c r="X15" s="32">
        <v>0.14099999999999999</v>
      </c>
      <c r="Y15" s="32">
        <v>7.9000000000000001E-2</v>
      </c>
      <c r="Z15" s="44">
        <f>X15</f>
        <v>0.14099999999999999</v>
      </c>
      <c r="AA15" s="14">
        <v>11</v>
      </c>
      <c r="AB15" s="12">
        <v>40919</v>
      </c>
      <c r="AC15" s="15">
        <f t="shared" si="6"/>
        <v>3.0416666666666665E-3</v>
      </c>
      <c r="AE15" s="31">
        <v>2010</v>
      </c>
      <c r="AF15" s="241">
        <v>7.9000000000000001E-2</v>
      </c>
      <c r="AG15" s="243">
        <v>6.9000000000000006E-2</v>
      </c>
      <c r="AI15" s="255">
        <v>11</v>
      </c>
      <c r="AJ15" s="253">
        <v>42015</v>
      </c>
      <c r="AK15" s="256">
        <f t="shared" si="7"/>
        <v>7.4166666666666669E-3</v>
      </c>
      <c r="AL15" s="253">
        <v>42380</v>
      </c>
      <c r="AM15" s="256">
        <f t="shared" si="3"/>
        <v>4.2500000000000003E-3</v>
      </c>
      <c r="AO15" s="253">
        <v>42015</v>
      </c>
      <c r="AP15" s="256">
        <f t="shared" si="4"/>
        <v>1.3166666666666667E-2</v>
      </c>
      <c r="AQ15" s="253">
        <v>42380</v>
      </c>
      <c r="AR15" s="256">
        <f t="shared" si="5"/>
        <v>3.9166666666666664E-3</v>
      </c>
      <c r="AT15" s="44">
        <f t="shared" si="10"/>
        <v>1.069</v>
      </c>
      <c r="AU15" s="44">
        <f t="shared" si="11"/>
        <v>1.069</v>
      </c>
      <c r="BC15" s="272"/>
      <c r="BD15" s="274" t="s">
        <v>272</v>
      </c>
      <c r="BE15" s="274" t="s">
        <v>220</v>
      </c>
      <c r="BF15" s="274">
        <v>2</v>
      </c>
      <c r="BG15" s="306" t="s">
        <v>228</v>
      </c>
      <c r="BH15" s="293" t="s">
        <v>300</v>
      </c>
      <c r="BI15" s="293"/>
      <c r="BJ15" s="308">
        <v>0.01</v>
      </c>
      <c r="BK15" s="308"/>
      <c r="BL15" s="271"/>
      <c r="BM15" s="271"/>
      <c r="BN15" s="272"/>
      <c r="BO15" s="272"/>
      <c r="BP15" s="272"/>
      <c r="BQ15" s="272"/>
      <c r="BR15" s="272"/>
      <c r="BS15" s="272"/>
      <c r="BT15" s="272"/>
      <c r="BU15" s="272"/>
      <c r="BV15" s="272"/>
      <c r="BW15" s="272"/>
      <c r="BX15" s="272"/>
      <c r="BY15" s="272"/>
      <c r="BZ15" s="272"/>
    </row>
    <row r="16" spans="1:78" hidden="1" x14ac:dyDescent="0.2">
      <c r="A16" s="31">
        <v>2009</v>
      </c>
      <c r="B16" s="32">
        <v>0.08</v>
      </c>
      <c r="C16" s="32">
        <v>7.6999999999999999E-2</v>
      </c>
      <c r="D16" s="14">
        <v>12</v>
      </c>
      <c r="E16" s="12">
        <v>41286</v>
      </c>
      <c r="F16" s="15">
        <f t="shared" si="0"/>
        <v>2.8750000000000004E-3</v>
      </c>
      <c r="H16" s="14">
        <v>12</v>
      </c>
      <c r="I16" s="12">
        <v>41651</v>
      </c>
      <c r="J16" s="15">
        <f t="shared" si="1"/>
        <v>2.708333333333333E-3</v>
      </c>
      <c r="K16" s="4"/>
      <c r="L16" s="14">
        <v>12</v>
      </c>
      <c r="M16" s="12">
        <v>42016</v>
      </c>
      <c r="N16" s="15">
        <f t="shared" si="8"/>
        <v>2.2916666666666667E-3</v>
      </c>
      <c r="O16" s="141"/>
      <c r="P16" s="14">
        <v>12</v>
      </c>
      <c r="Q16" s="12">
        <v>41651</v>
      </c>
      <c r="R16" s="15">
        <f t="shared" si="2"/>
        <v>2.1250000000000002E-3</v>
      </c>
      <c r="S16" s="4"/>
      <c r="T16" s="14">
        <v>12</v>
      </c>
      <c r="U16" s="12">
        <v>42016</v>
      </c>
      <c r="V16" s="15">
        <f t="shared" si="9"/>
        <v>2.1250000000000002E-3</v>
      </c>
      <c r="W16" s="31">
        <v>2009</v>
      </c>
      <c r="X16" s="32">
        <v>0.11700000000000001</v>
      </c>
      <c r="Y16" s="32">
        <v>9.5000000000000001E-2</v>
      </c>
      <c r="Z16" s="44">
        <f t="shared" ref="Z16:Z17" si="12">X16</f>
        <v>0.11700000000000001</v>
      </c>
      <c r="AA16" s="14">
        <v>12</v>
      </c>
      <c r="AB16" s="12">
        <v>40920</v>
      </c>
      <c r="AC16" s="15">
        <f t="shared" si="6"/>
        <v>3.0416666666666665E-3</v>
      </c>
      <c r="AE16" s="31">
        <v>2011</v>
      </c>
      <c r="AF16" s="241">
        <v>8.7999999999999995E-2</v>
      </c>
      <c r="AG16" s="243">
        <v>8.4000000000000005E-2</v>
      </c>
      <c r="AI16" s="255">
        <v>12</v>
      </c>
      <c r="AJ16" s="253">
        <v>42016</v>
      </c>
      <c r="AK16" s="256">
        <f t="shared" si="7"/>
        <v>7.4166666666666669E-3</v>
      </c>
      <c r="AL16" s="253">
        <v>42381</v>
      </c>
      <c r="AM16" s="256">
        <f t="shared" si="3"/>
        <v>4.2500000000000003E-3</v>
      </c>
      <c r="AO16" s="253">
        <v>42016</v>
      </c>
      <c r="AP16" s="256">
        <f t="shared" si="4"/>
        <v>1.3166666666666667E-2</v>
      </c>
      <c r="AQ16" s="253">
        <v>42381</v>
      </c>
      <c r="AR16" s="256">
        <f t="shared" si="5"/>
        <v>3.9166666666666664E-3</v>
      </c>
      <c r="AT16" s="44">
        <f t="shared" si="10"/>
        <v>1.0840000000000001</v>
      </c>
      <c r="AU16" s="44">
        <f t="shared" si="11"/>
        <v>1.0840000000000001</v>
      </c>
      <c r="BC16" s="272"/>
      <c r="BD16" s="274" t="s">
        <v>268</v>
      </c>
      <c r="BE16" s="274" t="s">
        <v>240</v>
      </c>
      <c r="BF16" s="274">
        <v>1</v>
      </c>
      <c r="BG16" s="306" t="s">
        <v>235</v>
      </c>
      <c r="BH16" s="293" t="s">
        <v>236</v>
      </c>
      <c r="BI16" s="293"/>
      <c r="BJ16" s="309">
        <v>2.5000000000000001E-2</v>
      </c>
      <c r="BK16" s="308">
        <v>0.03</v>
      </c>
      <c r="BL16" s="271"/>
      <c r="BM16" s="271"/>
      <c r="BN16" s="272"/>
      <c r="BO16" s="272"/>
      <c r="BP16" s="272"/>
      <c r="BQ16" s="272"/>
      <c r="BR16" s="272"/>
      <c r="BS16" s="272"/>
      <c r="BT16" s="272"/>
      <c r="BU16" s="272"/>
      <c r="BV16" s="272"/>
      <c r="BW16" s="272"/>
      <c r="BX16" s="272"/>
      <c r="BY16" s="272"/>
      <c r="BZ16" s="272"/>
    </row>
    <row r="17" spans="1:78" hidden="1" x14ac:dyDescent="0.2">
      <c r="A17" s="31">
        <v>2010</v>
      </c>
      <c r="B17" s="32">
        <v>0.08</v>
      </c>
      <c r="C17" s="32">
        <v>7.9000000000000001E-2</v>
      </c>
      <c r="D17" s="14">
        <v>13</v>
      </c>
      <c r="E17" s="12">
        <v>41287</v>
      </c>
      <c r="F17" s="15">
        <f t="shared" si="0"/>
        <v>2.8750000000000004E-3</v>
      </c>
      <c r="H17" s="14">
        <v>13</v>
      </c>
      <c r="I17" s="12">
        <v>41652</v>
      </c>
      <c r="J17" s="15">
        <f t="shared" si="1"/>
        <v>2.708333333333333E-3</v>
      </c>
      <c r="K17" s="4"/>
      <c r="L17" s="14">
        <v>13</v>
      </c>
      <c r="M17" s="12">
        <v>42017</v>
      </c>
      <c r="N17" s="15">
        <f t="shared" si="8"/>
        <v>2.2916666666666667E-3</v>
      </c>
      <c r="O17" s="141"/>
      <c r="P17" s="14">
        <v>13</v>
      </c>
      <c r="Q17" s="12">
        <v>41652</v>
      </c>
      <c r="R17" s="15">
        <f t="shared" si="2"/>
        <v>2.1250000000000002E-3</v>
      </c>
      <c r="S17" s="4"/>
      <c r="T17" s="14">
        <v>13</v>
      </c>
      <c r="U17" s="12">
        <v>42017</v>
      </c>
      <c r="V17" s="15">
        <f t="shared" si="9"/>
        <v>2.1250000000000002E-3</v>
      </c>
      <c r="W17" s="31">
        <v>2010</v>
      </c>
      <c r="X17" s="32">
        <v>6.8000000000000005E-2</v>
      </c>
      <c r="Y17" s="32">
        <v>0.107</v>
      </c>
      <c r="Z17" s="44">
        <f t="shared" si="12"/>
        <v>6.8000000000000005E-2</v>
      </c>
      <c r="AA17" s="14">
        <v>13</v>
      </c>
      <c r="AB17" s="12">
        <v>40921</v>
      </c>
      <c r="AC17" s="15">
        <f t="shared" si="6"/>
        <v>3.0416666666666665E-3</v>
      </c>
      <c r="AE17" s="31">
        <v>2012</v>
      </c>
      <c r="AF17" s="241">
        <v>6.8000000000000005E-2</v>
      </c>
      <c r="AG17" s="243">
        <v>5.0999999999999997E-2</v>
      </c>
      <c r="AI17" s="255">
        <v>13</v>
      </c>
      <c r="AJ17" s="253">
        <v>42017</v>
      </c>
      <c r="AK17" s="256">
        <f t="shared" si="7"/>
        <v>7.4166666666666669E-3</v>
      </c>
      <c r="AL17" s="253">
        <v>42382</v>
      </c>
      <c r="AM17" s="256">
        <f t="shared" si="3"/>
        <v>4.2500000000000003E-3</v>
      </c>
      <c r="AO17" s="253">
        <v>42017</v>
      </c>
      <c r="AP17" s="256">
        <f t="shared" si="4"/>
        <v>1.3166666666666667E-2</v>
      </c>
      <c r="AQ17" s="253">
        <v>42382</v>
      </c>
      <c r="AR17" s="256">
        <f t="shared" si="5"/>
        <v>3.9166666666666664E-3</v>
      </c>
      <c r="AT17" s="44">
        <f t="shared" si="10"/>
        <v>1.0509999999999999</v>
      </c>
      <c r="AU17" s="44">
        <f t="shared" si="11"/>
        <v>1.0509999999999999</v>
      </c>
      <c r="BC17" s="272"/>
      <c r="BD17" s="274" t="s">
        <v>200</v>
      </c>
      <c r="BE17" s="274" t="s">
        <v>240</v>
      </c>
      <c r="BF17" s="274">
        <v>1</v>
      </c>
      <c r="BG17" s="306" t="s">
        <v>235</v>
      </c>
      <c r="BH17" s="293" t="s">
        <v>236</v>
      </c>
      <c r="BI17" s="293"/>
      <c r="BJ17" s="309">
        <v>2.5000000000000001E-2</v>
      </c>
      <c r="BK17" s="308">
        <v>0.03</v>
      </c>
      <c r="BL17" s="271"/>
      <c r="BM17" s="271"/>
      <c r="BN17" s="272"/>
      <c r="BO17" s="272"/>
      <c r="BP17" s="272"/>
      <c r="BQ17" s="272"/>
      <c r="BR17" s="272"/>
      <c r="BS17" s="272"/>
      <c r="BT17" s="272"/>
      <c r="BU17" s="272"/>
      <c r="BV17" s="272"/>
      <c r="BW17" s="272"/>
      <c r="BX17" s="272"/>
      <c r="BY17" s="272"/>
      <c r="BZ17" s="272"/>
    </row>
    <row r="18" spans="1:78" hidden="1" x14ac:dyDescent="0.2">
      <c r="A18" s="31">
        <v>2011</v>
      </c>
      <c r="B18" s="32">
        <v>7.5999999999999998E-2</v>
      </c>
      <c r="C18" s="32">
        <v>8.7999999999999995E-2</v>
      </c>
      <c r="D18" s="14">
        <v>14</v>
      </c>
      <c r="E18" s="12">
        <v>41288</v>
      </c>
      <c r="F18" s="15">
        <f t="shared" si="0"/>
        <v>2.8750000000000004E-3</v>
      </c>
      <c r="H18" s="14">
        <v>14</v>
      </c>
      <c r="I18" s="12">
        <v>41653</v>
      </c>
      <c r="J18" s="15">
        <f t="shared" si="1"/>
        <v>2.708333333333333E-3</v>
      </c>
      <c r="K18" s="4"/>
      <c r="L18" s="14">
        <v>14</v>
      </c>
      <c r="M18" s="12">
        <v>42018</v>
      </c>
      <c r="N18" s="15">
        <f t="shared" si="8"/>
        <v>2.2916666666666667E-3</v>
      </c>
      <c r="O18" s="141"/>
      <c r="P18" s="14">
        <v>14</v>
      </c>
      <c r="Q18" s="12">
        <v>41653</v>
      </c>
      <c r="R18" s="15">
        <f t="shared" si="2"/>
        <v>2.1250000000000002E-3</v>
      </c>
      <c r="S18" s="4"/>
      <c r="T18" s="14">
        <v>14</v>
      </c>
      <c r="U18" s="12">
        <v>42018</v>
      </c>
      <c r="V18" s="15">
        <f t="shared" si="9"/>
        <v>2.1250000000000002E-3</v>
      </c>
      <c r="W18" s="31">
        <v>2011</v>
      </c>
      <c r="X18" s="143">
        <v>8.5999999999999993E-2</v>
      </c>
      <c r="Y18" s="32">
        <v>8.6999999999999994E-2</v>
      </c>
      <c r="Z18" s="44">
        <v>8.4000000000000005E-2</v>
      </c>
      <c r="AA18" s="14">
        <v>14</v>
      </c>
      <c r="AB18" s="12">
        <v>40922</v>
      </c>
      <c r="AC18" s="15">
        <f t="shared" si="6"/>
        <v>3.0416666666666665E-3</v>
      </c>
      <c r="AE18" s="31">
        <v>2013</v>
      </c>
      <c r="AF18" s="241">
        <v>6.0999999999999999E-2</v>
      </c>
      <c r="AG18" s="243">
        <v>6.7000000000000004E-2</v>
      </c>
      <c r="AI18" s="255">
        <v>14</v>
      </c>
      <c r="AJ18" s="253">
        <v>42018</v>
      </c>
      <c r="AK18" s="256">
        <f t="shared" si="7"/>
        <v>7.4166666666666669E-3</v>
      </c>
      <c r="AL18" s="253">
        <v>42383</v>
      </c>
      <c r="AM18" s="256">
        <f t="shared" si="3"/>
        <v>4.2500000000000003E-3</v>
      </c>
      <c r="AO18" s="253">
        <v>42018</v>
      </c>
      <c r="AP18" s="256">
        <f t="shared" si="4"/>
        <v>1.3166666666666667E-2</v>
      </c>
      <c r="AQ18" s="253">
        <v>42383</v>
      </c>
      <c r="AR18" s="256">
        <f t="shared" si="5"/>
        <v>3.9166666666666664E-3</v>
      </c>
      <c r="AT18" s="44">
        <f t="shared" si="10"/>
        <v>1.0669999999999999</v>
      </c>
      <c r="AU18" s="44">
        <f t="shared" si="11"/>
        <v>1.0669999999999999</v>
      </c>
      <c r="BC18" s="272"/>
      <c r="BD18" s="274" t="s">
        <v>267</v>
      </c>
      <c r="BE18" s="274" t="s">
        <v>240</v>
      </c>
      <c r="BF18" s="274">
        <v>1</v>
      </c>
      <c r="BG18" s="306" t="s">
        <v>235</v>
      </c>
      <c r="BH18" s="293" t="s">
        <v>236</v>
      </c>
      <c r="BI18" s="293"/>
      <c r="BJ18" s="309">
        <v>2.5000000000000001E-2</v>
      </c>
      <c r="BK18" s="308">
        <v>0.03</v>
      </c>
      <c r="BL18" s="271"/>
      <c r="BM18" s="271"/>
      <c r="BN18" s="272"/>
      <c r="BO18" s="272"/>
      <c r="BP18" s="272"/>
      <c r="BQ18" s="272"/>
      <c r="BR18" s="272"/>
      <c r="BS18" s="272"/>
      <c r="BT18" s="272"/>
      <c r="BU18" s="272"/>
      <c r="BV18" s="272"/>
      <c r="BW18" s="272"/>
      <c r="BX18" s="272"/>
      <c r="BY18" s="272"/>
      <c r="BZ18" s="272"/>
    </row>
    <row r="19" spans="1:78" hidden="1" x14ac:dyDescent="0.2">
      <c r="A19" s="31">
        <v>2012</v>
      </c>
      <c r="B19" s="32">
        <v>7.2999999999999995E-2</v>
      </c>
      <c r="C19" s="32">
        <v>6.8000000000000005E-2</v>
      </c>
      <c r="D19" s="14">
        <v>15</v>
      </c>
      <c r="E19" s="12">
        <v>41289</v>
      </c>
      <c r="F19" s="15">
        <f t="shared" si="0"/>
        <v>2.8750000000000004E-3</v>
      </c>
      <c r="H19" s="14">
        <v>15</v>
      </c>
      <c r="I19" s="12">
        <v>41654</v>
      </c>
      <c r="J19" s="15">
        <f t="shared" si="1"/>
        <v>2.708333333333333E-3</v>
      </c>
      <c r="K19" s="4"/>
      <c r="L19" s="14">
        <v>15</v>
      </c>
      <c r="M19" s="12">
        <v>42019</v>
      </c>
      <c r="N19" s="15">
        <f t="shared" si="8"/>
        <v>2.2916666666666667E-3</v>
      </c>
      <c r="O19" s="141"/>
      <c r="P19" s="14">
        <v>15</v>
      </c>
      <c r="Q19" s="12">
        <v>41654</v>
      </c>
      <c r="R19" s="15">
        <f t="shared" si="2"/>
        <v>2.1250000000000002E-3</v>
      </c>
      <c r="S19" s="4"/>
      <c r="T19" s="14">
        <v>15</v>
      </c>
      <c r="U19" s="12">
        <v>42019</v>
      </c>
      <c r="V19" s="15">
        <f t="shared" si="9"/>
        <v>2.1250000000000002E-3</v>
      </c>
      <c r="W19" s="31">
        <v>2012</v>
      </c>
      <c r="X19" s="142">
        <v>5.0999999999999997E-2</v>
      </c>
      <c r="Y19" s="32">
        <v>7.4999999999999997E-2</v>
      </c>
      <c r="Z19" s="44">
        <v>5.1999999999999998E-2</v>
      </c>
      <c r="AA19" s="14">
        <v>15</v>
      </c>
      <c r="AB19" s="12">
        <v>40923</v>
      </c>
      <c r="AC19" s="15">
        <f t="shared" si="6"/>
        <v>3.0416666666666665E-3</v>
      </c>
      <c r="AE19" s="31">
        <v>2014</v>
      </c>
      <c r="AF19" s="241">
        <v>4.8000000000000001E-2</v>
      </c>
      <c r="AG19" s="243">
        <v>7.8E-2</v>
      </c>
      <c r="AH19" s="283">
        <f>AF19/4*3</f>
        <v>3.6000000000000004E-2</v>
      </c>
      <c r="AI19" s="255">
        <v>15</v>
      </c>
      <c r="AJ19" s="253">
        <v>42019</v>
      </c>
      <c r="AK19" s="256">
        <f t="shared" si="7"/>
        <v>7.4166666666666669E-3</v>
      </c>
      <c r="AL19" s="253">
        <v>42384</v>
      </c>
      <c r="AM19" s="256">
        <f t="shared" si="3"/>
        <v>4.2500000000000003E-3</v>
      </c>
      <c r="AO19" s="253">
        <v>42019</v>
      </c>
      <c r="AP19" s="256">
        <f t="shared" si="4"/>
        <v>1.3166666666666667E-2</v>
      </c>
      <c r="AQ19" s="253">
        <v>42384</v>
      </c>
      <c r="AR19" s="256">
        <f t="shared" si="5"/>
        <v>3.9166666666666664E-3</v>
      </c>
      <c r="AT19" s="44">
        <f>AG19/2+1</f>
        <v>1.0389999999999999</v>
      </c>
      <c r="AU19" s="44">
        <f t="shared" si="11"/>
        <v>1.0780000000000001</v>
      </c>
      <c r="BC19" s="272"/>
      <c r="BD19" s="274" t="s">
        <v>270</v>
      </c>
      <c r="BE19" s="274" t="s">
        <v>220</v>
      </c>
      <c r="BF19" s="274">
        <v>2</v>
      </c>
      <c r="BG19" s="306" t="s">
        <v>228</v>
      </c>
      <c r="BH19" s="293" t="s">
        <v>300</v>
      </c>
      <c r="BI19" s="293"/>
      <c r="BJ19" s="308">
        <v>0.01</v>
      </c>
      <c r="BK19" s="308"/>
      <c r="BL19" s="271"/>
      <c r="BM19" s="271"/>
      <c r="BN19" s="272"/>
      <c r="BO19" s="272"/>
      <c r="BP19" s="272"/>
      <c r="BQ19" s="272"/>
      <c r="BR19" s="272"/>
      <c r="BS19" s="272"/>
      <c r="BT19" s="272"/>
      <c r="BU19" s="272"/>
      <c r="BV19" s="272"/>
      <c r="BW19" s="272"/>
      <c r="BX19" s="272"/>
      <c r="BY19" s="272"/>
      <c r="BZ19" s="272"/>
    </row>
    <row r="20" spans="1:78" hidden="1" x14ac:dyDescent="0.2">
      <c r="A20" s="31">
        <v>2013</v>
      </c>
      <c r="B20" s="32">
        <v>6.9000000000000006E-2</v>
      </c>
      <c r="C20" s="143">
        <v>6.0999999999999999E-2</v>
      </c>
      <c r="D20" s="14">
        <v>16</v>
      </c>
      <c r="E20" s="12">
        <v>41290</v>
      </c>
      <c r="F20" s="15">
        <f t="shared" si="0"/>
        <v>2.8750000000000004E-3</v>
      </c>
      <c r="H20" s="14">
        <v>16</v>
      </c>
      <c r="I20" s="12">
        <v>41655</v>
      </c>
      <c r="J20" s="15">
        <f t="shared" si="1"/>
        <v>2.708333333333333E-3</v>
      </c>
      <c r="K20" s="4"/>
      <c r="L20" s="14">
        <v>16</v>
      </c>
      <c r="M20" s="12">
        <v>42020</v>
      </c>
      <c r="N20" s="15">
        <f t="shared" si="8"/>
        <v>2.2916666666666667E-3</v>
      </c>
      <c r="O20" s="141"/>
      <c r="P20" s="14">
        <v>16</v>
      </c>
      <c r="Q20" s="12">
        <v>41655</v>
      </c>
      <c r="R20" s="15">
        <f t="shared" si="2"/>
        <v>2.1250000000000002E-3</v>
      </c>
      <c r="S20" s="4"/>
      <c r="T20" s="14">
        <v>16</v>
      </c>
      <c r="U20" s="12">
        <v>42020</v>
      </c>
      <c r="V20" s="15">
        <f t="shared" si="9"/>
        <v>2.1250000000000002E-3</v>
      </c>
      <c r="W20" s="31">
        <v>2013</v>
      </c>
      <c r="X20" s="142">
        <v>5.8999999999999997E-2</v>
      </c>
      <c r="Y20" s="32"/>
      <c r="Z20" s="44">
        <v>7.0999999999999994E-2</v>
      </c>
      <c r="AA20" s="14">
        <v>16</v>
      </c>
      <c r="AB20" s="12">
        <v>40924</v>
      </c>
      <c r="AC20" s="15">
        <f t="shared" si="6"/>
        <v>3.0416666666666665E-3</v>
      </c>
      <c r="AE20" s="33">
        <v>2015</v>
      </c>
      <c r="AF20" s="244">
        <v>8.8999999999999996E-2</v>
      </c>
      <c r="AG20" s="245">
        <v>0.158</v>
      </c>
      <c r="AH20" s="284">
        <f>(1+3.825%)*(1+2.55%)-1</f>
        <v>6.4725374999999863E-2</v>
      </c>
      <c r="AI20" s="255">
        <v>16</v>
      </c>
      <c r="AJ20" s="253">
        <v>42020</v>
      </c>
      <c r="AK20" s="256">
        <f t="shared" si="7"/>
        <v>7.4166666666666669E-3</v>
      </c>
      <c r="AL20" s="253">
        <v>42385</v>
      </c>
      <c r="AM20" s="256">
        <f t="shared" si="3"/>
        <v>4.2500000000000003E-3</v>
      </c>
      <c r="AO20" s="253">
        <v>42020</v>
      </c>
      <c r="AP20" s="256">
        <f t="shared" si="4"/>
        <v>1.3166666666666667E-2</v>
      </c>
      <c r="AQ20" s="253">
        <v>42385</v>
      </c>
      <c r="AR20" s="256">
        <f t="shared" si="5"/>
        <v>3.9166666666666664E-3</v>
      </c>
      <c r="AT20" s="44">
        <f>AG20/2+1</f>
        <v>1.079</v>
      </c>
      <c r="AU20" s="44">
        <f t="shared" si="11"/>
        <v>1.1579999999999999</v>
      </c>
      <c r="BC20" s="272"/>
      <c r="BD20" s="274" t="s">
        <v>277</v>
      </c>
      <c r="BE20" s="274" t="s">
        <v>220</v>
      </c>
      <c r="BF20" s="274">
        <v>2</v>
      </c>
      <c r="BG20" s="306" t="s">
        <v>228</v>
      </c>
      <c r="BH20" s="293" t="s">
        <v>300</v>
      </c>
      <c r="BI20" s="293"/>
      <c r="BJ20" s="308">
        <v>0.01</v>
      </c>
      <c r="BK20" s="308"/>
      <c r="BL20" s="271"/>
      <c r="BM20" s="271"/>
      <c r="BN20" s="272"/>
      <c r="BO20" s="272"/>
      <c r="BP20" s="272"/>
      <c r="BQ20" s="272"/>
      <c r="BR20" s="272"/>
      <c r="BS20" s="272"/>
      <c r="BT20" s="272"/>
      <c r="BU20" s="272"/>
      <c r="BV20" s="272"/>
      <c r="BW20" s="272"/>
      <c r="BX20" s="272"/>
      <c r="BY20" s="272"/>
      <c r="BZ20" s="272"/>
    </row>
    <row r="21" spans="1:78" hidden="1" x14ac:dyDescent="0.2">
      <c r="A21" s="31">
        <v>2014</v>
      </c>
      <c r="B21" s="32">
        <v>6.5000000000000002E-2</v>
      </c>
      <c r="C21" s="142">
        <v>5.0999999999999997E-2</v>
      </c>
      <c r="D21" s="14">
        <v>17</v>
      </c>
      <c r="E21" s="12">
        <v>41291</v>
      </c>
      <c r="F21" s="15">
        <f t="shared" si="0"/>
        <v>2.8750000000000004E-3</v>
      </c>
      <c r="H21" s="14">
        <v>17</v>
      </c>
      <c r="I21" s="12">
        <v>41656</v>
      </c>
      <c r="J21" s="15">
        <f t="shared" si="1"/>
        <v>2.708333333333333E-3</v>
      </c>
      <c r="K21" s="4"/>
      <c r="L21" s="14">
        <v>17</v>
      </c>
      <c r="M21" s="12">
        <v>42021</v>
      </c>
      <c r="N21" s="15">
        <f t="shared" si="8"/>
        <v>2.2916666666666667E-3</v>
      </c>
      <c r="O21" s="141"/>
      <c r="P21" s="14">
        <v>17</v>
      </c>
      <c r="Q21" s="12">
        <v>41656</v>
      </c>
      <c r="R21" s="15">
        <f t="shared" si="2"/>
        <v>2.1250000000000002E-3</v>
      </c>
      <c r="S21" s="4"/>
      <c r="T21" s="14">
        <v>17</v>
      </c>
      <c r="U21" s="12">
        <v>42021</v>
      </c>
      <c r="V21" s="15">
        <f t="shared" si="9"/>
        <v>2.1250000000000002E-3</v>
      </c>
      <c r="W21" s="31">
        <v>2014</v>
      </c>
      <c r="X21" s="142">
        <v>5.1999999999999998E-2</v>
      </c>
      <c r="Y21" s="32"/>
      <c r="Z21" s="44">
        <v>5.3999999999999999E-2</v>
      </c>
      <c r="AA21" s="14">
        <v>17</v>
      </c>
      <c r="AB21" s="12">
        <v>40925</v>
      </c>
      <c r="AC21" s="15">
        <f t="shared" si="6"/>
        <v>3.0416666666666665E-3</v>
      </c>
      <c r="AE21" s="33">
        <v>2016</v>
      </c>
      <c r="AF21" s="244">
        <v>5.0999999999999997E-2</v>
      </c>
      <c r="AG21" s="245">
        <v>4.7E-2</v>
      </c>
      <c r="AI21" s="255">
        <v>17</v>
      </c>
      <c r="AJ21" s="253">
        <v>42021</v>
      </c>
      <c r="AK21" s="256">
        <f t="shared" si="7"/>
        <v>7.4166666666666669E-3</v>
      </c>
      <c r="AL21" s="253">
        <v>42386</v>
      </c>
      <c r="AM21" s="256">
        <f t="shared" si="3"/>
        <v>4.2500000000000003E-3</v>
      </c>
      <c r="AO21" s="253">
        <v>42021</v>
      </c>
      <c r="AP21" s="256">
        <f t="shared" si="4"/>
        <v>1.3166666666666667E-2</v>
      </c>
      <c r="AQ21" s="253">
        <v>42386</v>
      </c>
      <c r="AR21" s="256">
        <f t="shared" si="5"/>
        <v>3.9166666666666664E-3</v>
      </c>
      <c r="AT21" s="44">
        <f>AT10*AT11*AT12*AT13*AT14*AT15*AT16*AT17*AT18*AT19</f>
        <v>2.299771700523972</v>
      </c>
      <c r="AU21" s="44">
        <f>AU13*AU14*AU15*AU16*AU17*AU18*AU19*AU20</f>
        <v>2.0674749709214408</v>
      </c>
      <c r="AV21" s="277"/>
      <c r="AW21" s="44"/>
      <c r="BC21" s="272"/>
      <c r="BD21" s="274"/>
      <c r="BE21" s="274"/>
      <c r="BF21" s="274"/>
      <c r="BG21" s="306"/>
      <c r="BH21" s="293"/>
      <c r="BI21" s="293"/>
      <c r="BJ21" s="308">
        <v>0.01</v>
      </c>
      <c r="BK21" s="308"/>
      <c r="BL21" s="271"/>
      <c r="BM21" s="271"/>
      <c r="BN21" s="272"/>
      <c r="BO21" s="272"/>
      <c r="BP21" s="272"/>
      <c r="BQ21" s="272"/>
      <c r="BR21" s="272"/>
      <c r="BS21" s="272"/>
      <c r="BT21" s="272"/>
      <c r="BU21" s="272"/>
      <c r="BV21" s="272"/>
      <c r="BW21" s="272"/>
      <c r="BX21" s="272"/>
      <c r="BY21" s="272"/>
      <c r="BZ21" s="272"/>
    </row>
    <row r="22" spans="1:78" hidden="1" x14ac:dyDescent="0.2">
      <c r="A22" s="33">
        <v>2015</v>
      </c>
      <c r="B22" s="40">
        <v>5.5E-2</v>
      </c>
      <c r="C22" s="142">
        <v>5.0999999999999997E-2</v>
      </c>
      <c r="D22" s="14">
        <v>18</v>
      </c>
      <c r="E22" s="12">
        <v>41292</v>
      </c>
      <c r="F22" s="15">
        <f t="shared" si="0"/>
        <v>2.8750000000000004E-3</v>
      </c>
      <c r="H22" s="14">
        <v>18</v>
      </c>
      <c r="I22" s="12">
        <v>41657</v>
      </c>
      <c r="J22" s="15">
        <f t="shared" si="1"/>
        <v>2.708333333333333E-3</v>
      </c>
      <c r="K22" s="4"/>
      <c r="L22" s="14">
        <v>18</v>
      </c>
      <c r="M22" s="12">
        <v>42022</v>
      </c>
      <c r="N22" s="15">
        <f t="shared" si="8"/>
        <v>2.2916666666666667E-3</v>
      </c>
      <c r="O22" s="141"/>
      <c r="P22" s="14">
        <v>18</v>
      </c>
      <c r="Q22" s="12">
        <v>41657</v>
      </c>
      <c r="R22" s="15">
        <f t="shared" si="2"/>
        <v>2.1250000000000002E-3</v>
      </c>
      <c r="S22" s="4"/>
      <c r="T22" s="14">
        <v>18</v>
      </c>
      <c r="U22" s="12">
        <v>42022</v>
      </c>
      <c r="V22" s="15">
        <f t="shared" si="9"/>
        <v>2.1250000000000002E-3</v>
      </c>
      <c r="W22" s="33">
        <v>2015</v>
      </c>
      <c r="X22" s="40"/>
      <c r="Y22" s="40"/>
      <c r="Z22" s="44">
        <v>4.9000000000000002E-2</v>
      </c>
      <c r="AA22" s="14">
        <v>18</v>
      </c>
      <c r="AB22" s="12">
        <v>40926</v>
      </c>
      <c r="AC22" s="15">
        <f t="shared" si="6"/>
        <v>3.0416666666666665E-3</v>
      </c>
      <c r="AE22" s="33">
        <v>2017</v>
      </c>
      <c r="AF22" s="244">
        <v>5.0999999999999997E-2</v>
      </c>
      <c r="AG22" s="245">
        <v>4.7E-2</v>
      </c>
      <c r="AI22" s="255">
        <v>18</v>
      </c>
      <c r="AJ22" s="253">
        <v>42022</v>
      </c>
      <c r="AK22" s="256">
        <f t="shared" si="7"/>
        <v>7.4166666666666669E-3</v>
      </c>
      <c r="AL22" s="253">
        <v>42387</v>
      </c>
      <c r="AM22" s="256">
        <f t="shared" si="3"/>
        <v>4.2500000000000003E-3</v>
      </c>
      <c r="AO22" s="253">
        <v>42022</v>
      </c>
      <c r="AP22" s="256">
        <f t="shared" si="4"/>
        <v>1.3166666666666667E-2</v>
      </c>
      <c r="AQ22" s="253">
        <v>42387</v>
      </c>
      <c r="AR22" s="256">
        <f t="shared" si="5"/>
        <v>3.9166666666666664E-3</v>
      </c>
      <c r="AV22" s="276"/>
      <c r="AW22" s="278"/>
      <c r="BC22" s="272"/>
      <c r="BD22" s="274"/>
      <c r="BE22" s="274"/>
      <c r="BF22" s="274"/>
      <c r="BG22" s="306"/>
      <c r="BH22" s="293"/>
      <c r="BI22" s="293"/>
      <c r="BJ22" s="308">
        <v>0.01</v>
      </c>
      <c r="BK22" s="308"/>
      <c r="BL22" s="271"/>
      <c r="BM22" s="271"/>
      <c r="BN22" s="272"/>
      <c r="BO22" s="272"/>
      <c r="BP22" s="272"/>
      <c r="BQ22" s="272"/>
      <c r="BR22" s="272"/>
      <c r="BS22" s="272"/>
      <c r="BT22" s="272"/>
      <c r="BU22" s="272"/>
      <c r="BV22" s="272"/>
      <c r="BW22" s="272"/>
      <c r="BX22" s="272"/>
      <c r="BY22" s="272"/>
      <c r="BZ22" s="272"/>
    </row>
    <row r="23" spans="1:78" ht="15.75" hidden="1" x14ac:dyDescent="0.25">
      <c r="B23" s="44"/>
      <c r="D23" s="14">
        <v>19</v>
      </c>
      <c r="E23" s="12">
        <v>41293</v>
      </c>
      <c r="F23" s="15">
        <f t="shared" si="0"/>
        <v>2.8750000000000004E-3</v>
      </c>
      <c r="H23" s="14">
        <v>19</v>
      </c>
      <c r="I23" s="12">
        <v>41658</v>
      </c>
      <c r="J23" s="15">
        <f t="shared" si="1"/>
        <v>2.708333333333333E-3</v>
      </c>
      <c r="K23" s="4"/>
      <c r="L23" s="14">
        <v>19</v>
      </c>
      <c r="M23" s="12">
        <v>42023</v>
      </c>
      <c r="N23" s="15">
        <f t="shared" si="8"/>
        <v>2.2916666666666667E-3</v>
      </c>
      <c r="O23" s="141"/>
      <c r="P23" s="14">
        <v>19</v>
      </c>
      <c r="Q23" s="12">
        <v>41658</v>
      </c>
      <c r="R23" s="15">
        <f t="shared" si="2"/>
        <v>2.1250000000000002E-3</v>
      </c>
      <c r="S23" s="4"/>
      <c r="T23" s="14">
        <v>19</v>
      </c>
      <c r="U23" s="12">
        <v>42023</v>
      </c>
      <c r="V23" s="15">
        <f t="shared" si="9"/>
        <v>2.1250000000000002E-3</v>
      </c>
      <c r="AA23" s="14">
        <v>19</v>
      </c>
      <c r="AB23" s="12">
        <v>40927</v>
      </c>
      <c r="AC23" s="15">
        <f t="shared" si="6"/>
        <v>3.0416666666666665E-3</v>
      </c>
      <c r="AF23" s="236">
        <f>AF17/4*2+1</f>
        <v>1.034</v>
      </c>
      <c r="AI23" s="255">
        <v>19</v>
      </c>
      <c r="AJ23" s="253">
        <v>42023</v>
      </c>
      <c r="AK23" s="256">
        <f t="shared" si="7"/>
        <v>7.4166666666666669E-3</v>
      </c>
      <c r="AL23" s="253">
        <v>42388</v>
      </c>
      <c r="AM23" s="256">
        <f t="shared" si="3"/>
        <v>4.2500000000000003E-3</v>
      </c>
      <c r="AO23" s="253">
        <v>42023</v>
      </c>
      <c r="AP23" s="256">
        <f t="shared" si="4"/>
        <v>1.3166666666666667E-2</v>
      </c>
      <c r="AQ23" s="253">
        <v>42388</v>
      </c>
      <c r="AR23" s="256">
        <f t="shared" si="5"/>
        <v>3.9166666666666664E-3</v>
      </c>
      <c r="AV23" s="44"/>
      <c r="AW23" s="44"/>
      <c r="BD23" s="273"/>
      <c r="BE23" s="310" t="s">
        <v>332</v>
      </c>
      <c r="BF23" s="275"/>
      <c r="BG23" s="272"/>
      <c r="BH23" s="272"/>
      <c r="BI23" s="311" t="s">
        <v>337</v>
      </c>
      <c r="BJ23" s="272"/>
      <c r="BK23" s="272"/>
      <c r="BL23" s="272"/>
      <c r="BM23" s="272"/>
      <c r="BN23" s="272"/>
      <c r="BO23" s="272"/>
      <c r="BP23" s="272"/>
      <c r="BQ23" s="272"/>
      <c r="BR23" s="272"/>
      <c r="BS23" s="272"/>
      <c r="BT23" s="272"/>
      <c r="BU23" s="272"/>
      <c r="BV23" s="272"/>
      <c r="BW23" s="272"/>
      <c r="BX23" s="272"/>
      <c r="BY23" s="272"/>
      <c r="BZ23" s="272"/>
    </row>
    <row r="24" spans="1:78" hidden="1" x14ac:dyDescent="0.2">
      <c r="A24" s="31">
        <v>2012</v>
      </c>
      <c r="B24" s="44"/>
      <c r="C24" s="44">
        <v>1</v>
      </c>
      <c r="D24" s="14">
        <v>20</v>
      </c>
      <c r="E24" s="12">
        <v>41294</v>
      </c>
      <c r="F24" s="50">
        <f t="shared" si="0"/>
        <v>2.8750000000000004E-3</v>
      </c>
      <c r="H24" s="14">
        <v>20</v>
      </c>
      <c r="I24" s="12">
        <v>41659</v>
      </c>
      <c r="J24" s="50">
        <f t="shared" si="1"/>
        <v>2.708333333333333E-3</v>
      </c>
      <c r="K24" s="4"/>
      <c r="L24" s="14">
        <v>20</v>
      </c>
      <c r="M24" s="12">
        <v>42024</v>
      </c>
      <c r="N24" s="50">
        <f t="shared" si="8"/>
        <v>2.2916666666666667E-3</v>
      </c>
      <c r="O24" s="141"/>
      <c r="P24" s="14">
        <v>20</v>
      </c>
      <c r="Q24" s="12">
        <v>41659</v>
      </c>
      <c r="R24" s="50">
        <f t="shared" si="2"/>
        <v>2.1250000000000002E-3</v>
      </c>
      <c r="S24" s="4"/>
      <c r="T24" s="14">
        <v>20</v>
      </c>
      <c r="U24" s="12">
        <v>42024</v>
      </c>
      <c r="V24" s="50">
        <f t="shared" si="9"/>
        <v>2.1250000000000002E-3</v>
      </c>
      <c r="W24" s="31">
        <v>2008</v>
      </c>
      <c r="X24" s="44">
        <f>1+X15</f>
        <v>1.141</v>
      </c>
      <c r="Y24" s="44">
        <f>1+Y15</f>
        <v>1.079</v>
      </c>
      <c r="Z24" s="44">
        <f>1+Z15</f>
        <v>1.141</v>
      </c>
      <c r="AA24" s="51">
        <v>20</v>
      </c>
      <c r="AB24" s="49">
        <v>40928</v>
      </c>
      <c r="AC24" s="50">
        <f t="shared" si="6"/>
        <v>3.0416666666666665E-3</v>
      </c>
      <c r="AF24" s="261">
        <f>AF18+1</f>
        <v>1.0609999999999999</v>
      </c>
      <c r="AI24" s="255">
        <v>20</v>
      </c>
      <c r="AJ24" s="253">
        <v>42024</v>
      </c>
      <c r="AK24" s="256">
        <f t="shared" si="7"/>
        <v>7.4166666666666669E-3</v>
      </c>
      <c r="AL24" s="253">
        <v>42389</v>
      </c>
      <c r="AM24" s="256">
        <f t="shared" si="3"/>
        <v>4.2500000000000003E-3</v>
      </c>
      <c r="AO24" s="253">
        <v>42024</v>
      </c>
      <c r="AP24" s="256">
        <f t="shared" si="4"/>
        <v>1.3166666666666667E-2</v>
      </c>
      <c r="AQ24" s="253">
        <v>42389</v>
      </c>
      <c r="AR24" s="256">
        <f t="shared" si="5"/>
        <v>3.9166666666666664E-3</v>
      </c>
      <c r="AW24" s="44"/>
      <c r="BD24" s="294"/>
      <c r="BE24" s="294" t="s">
        <v>278</v>
      </c>
      <c r="BF24" s="294" t="s">
        <v>200</v>
      </c>
      <c r="BG24" s="272"/>
      <c r="BH24" s="272"/>
      <c r="BI24" s="272" t="s">
        <v>278</v>
      </c>
      <c r="BJ24" s="272" t="s">
        <v>200</v>
      </c>
      <c r="BK24" s="272"/>
      <c r="BL24" s="272"/>
      <c r="BM24" s="272"/>
      <c r="BN24" s="272"/>
      <c r="BO24" s="272"/>
      <c r="BP24" s="272"/>
      <c r="BQ24" s="272"/>
      <c r="BR24" s="272"/>
      <c r="BS24" s="272"/>
      <c r="BT24" s="272"/>
      <c r="BU24" s="272"/>
      <c r="BV24" s="272"/>
      <c r="BW24" s="272"/>
      <c r="BX24" s="272"/>
      <c r="BY24" s="272"/>
      <c r="BZ24" s="272"/>
    </row>
    <row r="25" spans="1:78" hidden="1" x14ac:dyDescent="0.2">
      <c r="A25" s="31">
        <v>2013</v>
      </c>
      <c r="B25" s="44"/>
      <c r="C25" s="44">
        <f>C20/12*5+1</f>
        <v>1.0254166666666666</v>
      </c>
      <c r="D25" s="14">
        <v>21</v>
      </c>
      <c r="E25" s="12">
        <v>41295</v>
      </c>
      <c r="F25" s="15">
        <f t="shared" ref="F25:F35" si="13">F$4/D$4/100</f>
        <v>5.7500000000000008E-3</v>
      </c>
      <c r="H25" s="14">
        <v>21</v>
      </c>
      <c r="I25" s="12">
        <v>41660</v>
      </c>
      <c r="J25" s="15">
        <f t="shared" ref="J25:J35" si="14">J$4/H$4/100</f>
        <v>5.416666666666666E-3</v>
      </c>
      <c r="K25" s="4"/>
      <c r="L25" s="14">
        <v>21</v>
      </c>
      <c r="M25" s="12">
        <v>42025</v>
      </c>
      <c r="N25" s="15">
        <f>N$4/L$4/100</f>
        <v>4.5833333333333334E-3</v>
      </c>
      <c r="O25" s="141"/>
      <c r="P25" s="14">
        <v>21</v>
      </c>
      <c r="Q25" s="12">
        <v>41660</v>
      </c>
      <c r="R25" s="15">
        <f t="shared" ref="R25:R35" si="15">R$4/P$4/100</f>
        <v>4.2500000000000003E-3</v>
      </c>
      <c r="S25" s="4"/>
      <c r="T25" s="14">
        <v>21</v>
      </c>
      <c r="U25" s="12">
        <v>42025</v>
      </c>
      <c r="V25" s="15">
        <f>V$4/T$4/100</f>
        <v>4.2500000000000003E-3</v>
      </c>
      <c r="W25" s="31">
        <v>2009</v>
      </c>
      <c r="X25" s="44">
        <f>1+X16</f>
        <v>1.117</v>
      </c>
      <c r="Y25" s="44">
        <f t="shared" ref="X25:Y29" si="16">1+Y16</f>
        <v>1.095</v>
      </c>
      <c r="Z25" s="44">
        <f>1+Z16</f>
        <v>1.117</v>
      </c>
      <c r="AA25" s="14">
        <v>21</v>
      </c>
      <c r="AB25" s="12">
        <v>40929</v>
      </c>
      <c r="AC25" s="15">
        <f>AC$4/AA$4/100</f>
        <v>6.083333333333333E-3</v>
      </c>
      <c r="AF25" s="261">
        <f>AF19+1</f>
        <v>1.048</v>
      </c>
      <c r="AI25" s="255">
        <v>21</v>
      </c>
      <c r="AJ25" s="253">
        <v>42025</v>
      </c>
      <c r="AK25" s="256">
        <f t="shared" si="7"/>
        <v>7.4166666666666669E-3</v>
      </c>
      <c r="AL25" s="253">
        <v>42390</v>
      </c>
      <c r="AM25" s="256">
        <f t="shared" si="3"/>
        <v>4.2500000000000003E-3</v>
      </c>
      <c r="AO25" s="253">
        <v>42025</v>
      </c>
      <c r="AP25" s="256">
        <f t="shared" si="4"/>
        <v>1.3166666666666667E-2</v>
      </c>
      <c r="AQ25" s="253">
        <v>42390</v>
      </c>
      <c r="AR25" s="256">
        <f t="shared" si="5"/>
        <v>3.9166666666666664E-3</v>
      </c>
      <c r="BB25" s="44"/>
      <c r="BD25" s="281" t="s">
        <v>331</v>
      </c>
      <c r="BE25" s="300">
        <f>$AF$19/12*5</f>
        <v>0.02</v>
      </c>
      <c r="BF25" s="300">
        <f>$AG$19/12*5</f>
        <v>3.2500000000000001E-2</v>
      </c>
      <c r="BG25" s="299"/>
      <c r="BH25" s="299"/>
      <c r="BI25" s="300">
        <f t="shared" ref="BI25:BI53" si="17">$AF$20</f>
        <v>8.8999999999999996E-2</v>
      </c>
      <c r="BJ25" s="300">
        <f t="shared" ref="BJ25:BJ53" si="18">$AG$20</f>
        <v>0.158</v>
      </c>
    </row>
    <row r="26" spans="1:78" hidden="1" x14ac:dyDescent="0.2">
      <c r="A26" s="31">
        <v>2014</v>
      </c>
      <c r="B26" s="44"/>
      <c r="C26" s="44">
        <f>C21+1</f>
        <v>1.0509999999999999</v>
      </c>
      <c r="D26" s="14">
        <v>22</v>
      </c>
      <c r="E26" s="12">
        <v>41296</v>
      </c>
      <c r="F26" s="15">
        <f t="shared" si="13"/>
        <v>5.7500000000000008E-3</v>
      </c>
      <c r="H26" s="14">
        <v>22</v>
      </c>
      <c r="I26" s="12">
        <v>41661</v>
      </c>
      <c r="J26" s="15">
        <f t="shared" si="14"/>
        <v>5.416666666666666E-3</v>
      </c>
      <c r="K26" s="4"/>
      <c r="L26" s="14">
        <v>22</v>
      </c>
      <c r="M26" s="12">
        <v>42026</v>
      </c>
      <c r="N26" s="15">
        <f t="shared" ref="N26:N35" si="19">N$4/L$4/100</f>
        <v>4.5833333333333334E-3</v>
      </c>
      <c r="O26" s="44">
        <f>R186+1</f>
        <v>1.027625</v>
      </c>
      <c r="P26" s="14">
        <v>22</v>
      </c>
      <c r="Q26" s="12">
        <v>41661</v>
      </c>
      <c r="R26" s="15">
        <f t="shared" si="15"/>
        <v>4.2500000000000003E-3</v>
      </c>
      <c r="S26" s="4"/>
      <c r="T26" s="14">
        <v>22</v>
      </c>
      <c r="U26" s="12">
        <v>42026</v>
      </c>
      <c r="V26" s="15">
        <f t="shared" ref="V26:V35" si="20">V$4/T$4/100</f>
        <v>4.2500000000000003E-3</v>
      </c>
      <c r="W26" s="31">
        <v>2010</v>
      </c>
      <c r="X26" s="44">
        <f>1+X17</f>
        <v>1.0680000000000001</v>
      </c>
      <c r="Y26" s="44">
        <f t="shared" si="16"/>
        <v>1.107</v>
      </c>
      <c r="Z26" s="44">
        <f>1+Z17</f>
        <v>1.0680000000000001</v>
      </c>
      <c r="AA26" s="14">
        <v>22</v>
      </c>
      <c r="AB26" s="12">
        <v>40930</v>
      </c>
      <c r="AC26" s="15">
        <f t="shared" ref="AC26:AC35" si="21">AC$4/AA$4/100</f>
        <v>6.083333333333333E-3</v>
      </c>
      <c r="AI26" s="255">
        <v>22</v>
      </c>
      <c r="AJ26" s="253">
        <v>42026</v>
      </c>
      <c r="AK26" s="256">
        <f t="shared" si="7"/>
        <v>7.4166666666666669E-3</v>
      </c>
      <c r="AL26" s="253">
        <v>42391</v>
      </c>
      <c r="AM26" s="256">
        <f t="shared" si="3"/>
        <v>4.2500000000000003E-3</v>
      </c>
      <c r="AO26" s="253">
        <v>42026</v>
      </c>
      <c r="AP26" s="256">
        <f t="shared" si="4"/>
        <v>1.3166666666666667E-2</v>
      </c>
      <c r="AQ26" s="253">
        <v>42391</v>
      </c>
      <c r="AR26" s="256">
        <f t="shared" si="5"/>
        <v>3.9166666666666664E-3</v>
      </c>
      <c r="BD26" s="282" t="s">
        <v>279</v>
      </c>
      <c r="BE26" s="305">
        <f>$AF$19/4*3</f>
        <v>3.6000000000000004E-2</v>
      </c>
      <c r="BF26" s="305">
        <f>$AG$19/4*3</f>
        <v>5.8499999999999996E-2</v>
      </c>
      <c r="BG26" s="300"/>
      <c r="BH26" s="300"/>
      <c r="BI26" s="300">
        <f t="shared" si="17"/>
        <v>8.8999999999999996E-2</v>
      </c>
      <c r="BJ26" s="300">
        <f t="shared" si="18"/>
        <v>0.158</v>
      </c>
    </row>
    <row r="27" spans="1:78" hidden="1" x14ac:dyDescent="0.2">
      <c r="A27" s="31">
        <v>2015</v>
      </c>
      <c r="B27" s="44"/>
      <c r="C27" s="44">
        <f>V186+1</f>
        <v>1.027625</v>
      </c>
      <c r="D27" s="14">
        <v>23</v>
      </c>
      <c r="E27" s="12">
        <v>41297</v>
      </c>
      <c r="F27" s="15">
        <f t="shared" si="13"/>
        <v>5.7500000000000008E-3</v>
      </c>
      <c r="H27" s="14">
        <v>23</v>
      </c>
      <c r="I27" s="12">
        <v>41662</v>
      </c>
      <c r="J27" s="15">
        <f t="shared" si="14"/>
        <v>5.416666666666666E-3</v>
      </c>
      <c r="K27" s="4"/>
      <c r="L27" s="14">
        <v>23</v>
      </c>
      <c r="M27" s="12">
        <v>42027</v>
      </c>
      <c r="N27" s="15">
        <f t="shared" si="19"/>
        <v>4.5833333333333334E-3</v>
      </c>
      <c r="O27" s="141"/>
      <c r="P27" s="14">
        <v>23</v>
      </c>
      <c r="Q27" s="12">
        <v>41662</v>
      </c>
      <c r="R27" s="15">
        <f t="shared" si="15"/>
        <v>4.2500000000000003E-3</v>
      </c>
      <c r="S27" s="4"/>
      <c r="T27" s="14">
        <v>23</v>
      </c>
      <c r="U27" s="12">
        <v>42027</v>
      </c>
      <c r="V27" s="15">
        <f t="shared" si="20"/>
        <v>4.2500000000000003E-3</v>
      </c>
      <c r="W27" s="31">
        <v>2011</v>
      </c>
      <c r="X27" s="44">
        <f>1+X18</f>
        <v>1.0860000000000001</v>
      </c>
      <c r="Y27" s="44">
        <f t="shared" si="16"/>
        <v>1.087</v>
      </c>
      <c r="Z27" s="44">
        <f>1+Z18</f>
        <v>1.0840000000000001</v>
      </c>
      <c r="AA27" s="14">
        <v>23</v>
      </c>
      <c r="AB27" s="12">
        <v>40931</v>
      </c>
      <c r="AC27" s="15">
        <f t="shared" si="21"/>
        <v>6.083333333333333E-3</v>
      </c>
      <c r="AF27" s="261">
        <f>1+AK27</f>
        <v>1.0074166666666666</v>
      </c>
      <c r="AI27" s="255">
        <v>23</v>
      </c>
      <c r="AJ27" s="253">
        <v>42027</v>
      </c>
      <c r="AK27" s="256">
        <f t="shared" si="7"/>
        <v>7.4166666666666669E-3</v>
      </c>
      <c r="AL27" s="253">
        <v>42392</v>
      </c>
      <c r="AM27" s="256">
        <f t="shared" si="3"/>
        <v>4.2500000000000003E-3</v>
      </c>
      <c r="AO27" s="253">
        <v>42027</v>
      </c>
      <c r="AP27" s="256">
        <f t="shared" si="4"/>
        <v>1.3166666666666667E-2</v>
      </c>
      <c r="AQ27" s="253">
        <v>42392</v>
      </c>
      <c r="AR27" s="256">
        <f t="shared" si="5"/>
        <v>3.9166666666666664E-3</v>
      </c>
      <c r="BD27" s="282" t="s">
        <v>280</v>
      </c>
      <c r="BE27" s="305">
        <f>$AF$19/4*2</f>
        <v>2.4E-2</v>
      </c>
      <c r="BF27" s="305">
        <f>$AG$19/4*2</f>
        <v>3.9E-2</v>
      </c>
      <c r="BG27" s="300"/>
      <c r="BH27" s="300"/>
      <c r="BI27" s="300">
        <f t="shared" si="17"/>
        <v>8.8999999999999996E-2</v>
      </c>
      <c r="BJ27" s="300">
        <f t="shared" si="18"/>
        <v>0.158</v>
      </c>
    </row>
    <row r="28" spans="1:78" hidden="1" x14ac:dyDescent="0.2">
      <c r="A28" s="31"/>
      <c r="B28" s="44"/>
      <c r="C28" s="44">
        <f>C24*C25*C26*C27</f>
        <v>1.1074847359895832</v>
      </c>
      <c r="D28" s="14">
        <v>24</v>
      </c>
      <c r="E28" s="12">
        <v>41298</v>
      </c>
      <c r="F28" s="15">
        <f t="shared" si="13"/>
        <v>5.7500000000000008E-3</v>
      </c>
      <c r="H28" s="14">
        <v>24</v>
      </c>
      <c r="I28" s="12">
        <v>41663</v>
      </c>
      <c r="J28" s="15">
        <f t="shared" si="14"/>
        <v>5.416666666666666E-3</v>
      </c>
      <c r="K28" s="4"/>
      <c r="L28" s="14">
        <v>24</v>
      </c>
      <c r="M28" s="12">
        <v>42028</v>
      </c>
      <c r="N28" s="15">
        <f t="shared" si="19"/>
        <v>4.5833333333333334E-3</v>
      </c>
      <c r="O28" s="44">
        <f>C25*O26*C24</f>
        <v>1.0537438020833334</v>
      </c>
      <c r="P28" s="14">
        <v>24</v>
      </c>
      <c r="Q28" s="12">
        <v>41663</v>
      </c>
      <c r="R28" s="15">
        <f t="shared" si="15"/>
        <v>4.2500000000000003E-3</v>
      </c>
      <c r="S28" s="4"/>
      <c r="T28" s="14">
        <v>24</v>
      </c>
      <c r="U28" s="12">
        <v>42028</v>
      </c>
      <c r="V28" s="15">
        <f t="shared" si="20"/>
        <v>4.2500000000000003E-3</v>
      </c>
      <c r="W28" s="31">
        <v>2012</v>
      </c>
      <c r="X28" s="44">
        <f t="shared" si="16"/>
        <v>1.0509999999999999</v>
      </c>
      <c r="Y28" s="44">
        <f t="shared" si="16"/>
        <v>1.075</v>
      </c>
      <c r="Z28" s="44">
        <f t="shared" ref="Z28" si="22">1+Z19</f>
        <v>1.052</v>
      </c>
      <c r="AA28" s="14">
        <v>24</v>
      </c>
      <c r="AB28" s="12">
        <v>40932</v>
      </c>
      <c r="AC28" s="15">
        <f t="shared" si="21"/>
        <v>6.083333333333333E-3</v>
      </c>
      <c r="AF28" s="261">
        <f>1+AM28</f>
        <v>1.0042500000000001</v>
      </c>
      <c r="AI28" s="255">
        <v>24</v>
      </c>
      <c r="AJ28" s="253">
        <v>42028</v>
      </c>
      <c r="AK28" s="256">
        <f t="shared" si="7"/>
        <v>7.4166666666666669E-3</v>
      </c>
      <c r="AL28" s="253">
        <v>42393</v>
      </c>
      <c r="AM28" s="256">
        <f t="shared" si="3"/>
        <v>4.2500000000000003E-3</v>
      </c>
      <c r="AO28" s="253">
        <v>42028</v>
      </c>
      <c r="AP28" s="256">
        <f t="shared" si="4"/>
        <v>1.3166666666666667E-2</v>
      </c>
      <c r="AQ28" s="253">
        <v>42393</v>
      </c>
      <c r="AR28" s="256">
        <f t="shared" si="5"/>
        <v>3.9166666666666664E-3</v>
      </c>
      <c r="BD28" s="282" t="s">
        <v>290</v>
      </c>
      <c r="BE28" s="305">
        <f>$AF$19/4*1</f>
        <v>1.2E-2</v>
      </c>
      <c r="BF28" s="305">
        <f>$AG$19/4*1</f>
        <v>1.95E-2</v>
      </c>
      <c r="BG28" s="300"/>
      <c r="BH28" s="300"/>
      <c r="BI28" s="300">
        <f t="shared" si="17"/>
        <v>8.8999999999999996E-2</v>
      </c>
      <c r="BJ28" s="300">
        <f t="shared" si="18"/>
        <v>0.158</v>
      </c>
    </row>
    <row r="29" spans="1:78" hidden="1" x14ac:dyDescent="0.2">
      <c r="A29" s="31"/>
      <c r="B29" s="44"/>
      <c r="C29" s="44"/>
      <c r="D29" s="14">
        <v>25</v>
      </c>
      <c r="E29" s="12">
        <v>41299</v>
      </c>
      <c r="F29" s="15">
        <f t="shared" si="13"/>
        <v>5.7500000000000008E-3</v>
      </c>
      <c r="H29" s="14">
        <v>25</v>
      </c>
      <c r="I29" s="12">
        <v>41664</v>
      </c>
      <c r="J29" s="15">
        <f t="shared" si="14"/>
        <v>5.416666666666666E-3</v>
      </c>
      <c r="K29" s="4"/>
      <c r="L29" s="14">
        <v>25</v>
      </c>
      <c r="M29" s="12">
        <v>42029</v>
      </c>
      <c r="N29" s="15">
        <f t="shared" si="19"/>
        <v>4.5833333333333334E-3</v>
      </c>
      <c r="O29" s="141"/>
      <c r="P29" s="14">
        <v>25</v>
      </c>
      <c r="Q29" s="12">
        <v>41664</v>
      </c>
      <c r="R29" s="15">
        <f t="shared" si="15"/>
        <v>4.2500000000000003E-3</v>
      </c>
      <c r="S29" s="4"/>
      <c r="T29" s="14">
        <v>25</v>
      </c>
      <c r="U29" s="12">
        <v>42029</v>
      </c>
      <c r="V29" s="15">
        <f t="shared" si="20"/>
        <v>4.2500000000000003E-3</v>
      </c>
      <c r="W29" s="31">
        <v>2013</v>
      </c>
      <c r="X29" s="44">
        <f t="shared" si="16"/>
        <v>1.0589999999999999</v>
      </c>
      <c r="Z29" s="44">
        <f t="shared" ref="Z29:Z31" si="23">1+Z20</f>
        <v>1.071</v>
      </c>
      <c r="AA29" s="14">
        <v>25</v>
      </c>
      <c r="AB29" s="12">
        <v>40933</v>
      </c>
      <c r="AC29" s="15">
        <f t="shared" si="21"/>
        <v>6.083333333333333E-3</v>
      </c>
      <c r="AF29" s="241">
        <f>AF23*AF24*AF27-1</f>
        <v>0.1052106321666666</v>
      </c>
      <c r="AI29" s="255">
        <v>25</v>
      </c>
      <c r="AJ29" s="253">
        <v>42029</v>
      </c>
      <c r="AK29" s="256">
        <f t="shared" si="7"/>
        <v>7.4166666666666669E-3</v>
      </c>
      <c r="AL29" s="253">
        <v>42394</v>
      </c>
      <c r="AM29" s="256">
        <f t="shared" si="3"/>
        <v>4.2500000000000003E-3</v>
      </c>
      <c r="AO29" s="253">
        <v>42029</v>
      </c>
      <c r="AP29" s="256">
        <f t="shared" si="4"/>
        <v>1.3166666666666667E-2</v>
      </c>
      <c r="AQ29" s="253">
        <v>42394</v>
      </c>
      <c r="AR29" s="256">
        <f t="shared" si="5"/>
        <v>3.9166666666666664E-3</v>
      </c>
      <c r="BD29" s="282" t="s">
        <v>291</v>
      </c>
      <c r="BE29" s="305"/>
      <c r="BF29" s="305"/>
      <c r="BG29" s="300"/>
      <c r="BH29" s="300"/>
      <c r="BI29" s="305">
        <f t="shared" si="17"/>
        <v>8.8999999999999996E-2</v>
      </c>
      <c r="BJ29" s="305">
        <f t="shared" si="18"/>
        <v>0.158</v>
      </c>
    </row>
    <row r="30" spans="1:78" hidden="1" x14ac:dyDescent="0.2">
      <c r="C30" s="144"/>
      <c r="D30" s="14">
        <v>26</v>
      </c>
      <c r="E30" s="12">
        <v>41300</v>
      </c>
      <c r="F30" s="15">
        <f t="shared" si="13"/>
        <v>5.7500000000000008E-3</v>
      </c>
      <c r="H30" s="14">
        <v>26</v>
      </c>
      <c r="I30" s="12">
        <v>41665</v>
      </c>
      <c r="J30" s="15">
        <f t="shared" si="14"/>
        <v>5.416666666666666E-3</v>
      </c>
      <c r="K30" s="4"/>
      <c r="L30" s="14">
        <v>26</v>
      </c>
      <c r="M30" s="12">
        <v>42030</v>
      </c>
      <c r="N30" s="15">
        <f t="shared" si="19"/>
        <v>4.5833333333333334E-3</v>
      </c>
      <c r="O30" s="141"/>
      <c r="P30" s="14">
        <v>26</v>
      </c>
      <c r="Q30" s="12">
        <v>41665</v>
      </c>
      <c r="R30" s="15">
        <f t="shared" si="15"/>
        <v>4.2500000000000003E-3</v>
      </c>
      <c r="S30" s="4"/>
      <c r="T30" s="14">
        <v>26</v>
      </c>
      <c r="U30" s="12">
        <v>42030</v>
      </c>
      <c r="V30" s="15">
        <f t="shared" si="20"/>
        <v>4.2500000000000003E-3</v>
      </c>
      <c r="W30" s="31">
        <v>2014</v>
      </c>
      <c r="Y30" s="44">
        <f>Y24*Y25*Y26*Y27*Y28</f>
        <v>1.5283442700483749</v>
      </c>
      <c r="Z30" s="44">
        <f t="shared" si="23"/>
        <v>1.054</v>
      </c>
      <c r="AA30" s="14">
        <v>26</v>
      </c>
      <c r="AB30" s="12">
        <v>40934</v>
      </c>
      <c r="AC30" s="15">
        <f t="shared" si="21"/>
        <v>6.083333333333333E-3</v>
      </c>
      <c r="AF30" s="241">
        <f>AF23*AF24*AF25*AF28-1</f>
        <v>0.15461991959599986</v>
      </c>
      <c r="AI30" s="255">
        <v>26</v>
      </c>
      <c r="AJ30" s="253">
        <v>42030</v>
      </c>
      <c r="AK30" s="256">
        <f t="shared" si="7"/>
        <v>7.4166666666666669E-3</v>
      </c>
      <c r="AL30" s="253">
        <v>42395</v>
      </c>
      <c r="AM30" s="256">
        <f t="shared" si="3"/>
        <v>4.2500000000000003E-3</v>
      </c>
      <c r="AO30" s="253">
        <v>42030</v>
      </c>
      <c r="AP30" s="256">
        <f t="shared" si="4"/>
        <v>1.3166666666666667E-2</v>
      </c>
      <c r="AQ30" s="253">
        <v>42395</v>
      </c>
      <c r="AR30" s="256">
        <f t="shared" si="5"/>
        <v>3.9166666666666664E-3</v>
      </c>
      <c r="BD30" s="279" t="s">
        <v>209</v>
      </c>
      <c r="BE30" s="295">
        <f>(1+$AF$18/4*3)*(1+$AF$19)-1</f>
        <v>9.5946000000000087E-2</v>
      </c>
      <c r="BF30" s="295">
        <f>(1+$AG$18/4*3)*(1+$AG$19)-1</f>
        <v>0.13216950000000005</v>
      </c>
      <c r="BG30" s="302"/>
      <c r="BH30" s="302"/>
      <c r="BI30" s="295">
        <f>$AF$20</f>
        <v>8.8999999999999996E-2</v>
      </c>
      <c r="BJ30" s="295">
        <f>$AG$20</f>
        <v>0.158</v>
      </c>
    </row>
    <row r="31" spans="1:78" hidden="1" x14ac:dyDescent="0.2">
      <c r="B31" s="44"/>
      <c r="D31" s="14">
        <v>27</v>
      </c>
      <c r="E31" s="12">
        <v>41301</v>
      </c>
      <c r="F31" s="15">
        <f t="shared" si="13"/>
        <v>5.7500000000000008E-3</v>
      </c>
      <c r="H31" s="14">
        <v>27</v>
      </c>
      <c r="I31" s="12">
        <v>41666</v>
      </c>
      <c r="J31" s="15">
        <f t="shared" si="14"/>
        <v>5.416666666666666E-3</v>
      </c>
      <c r="K31" s="4"/>
      <c r="L31" s="14">
        <v>27</v>
      </c>
      <c r="M31" s="12">
        <v>42031</v>
      </c>
      <c r="N31" s="15">
        <f t="shared" si="19"/>
        <v>4.5833333333333334E-3</v>
      </c>
      <c r="O31" s="141"/>
      <c r="P31" s="14">
        <v>27</v>
      </c>
      <c r="Q31" s="12">
        <v>41666</v>
      </c>
      <c r="R31" s="15">
        <f t="shared" si="15"/>
        <v>4.2500000000000003E-3</v>
      </c>
      <c r="S31" s="4"/>
      <c r="T31" s="14">
        <v>27</v>
      </c>
      <c r="U31" s="12">
        <v>42031</v>
      </c>
      <c r="V31" s="15">
        <f t="shared" si="20"/>
        <v>4.2500000000000003E-3</v>
      </c>
      <c r="W31" s="31">
        <v>2015</v>
      </c>
      <c r="Z31" s="44">
        <f t="shared" si="23"/>
        <v>1.0489999999999999</v>
      </c>
      <c r="AA31" s="14">
        <v>27</v>
      </c>
      <c r="AB31" s="12">
        <v>40935</v>
      </c>
      <c r="AC31" s="15">
        <f t="shared" si="21"/>
        <v>6.083333333333333E-3</v>
      </c>
      <c r="AI31" s="255">
        <v>27</v>
      </c>
      <c r="AJ31" s="253">
        <v>42031</v>
      </c>
      <c r="AK31" s="256">
        <f t="shared" si="7"/>
        <v>7.4166666666666669E-3</v>
      </c>
      <c r="AL31" s="253">
        <v>42396</v>
      </c>
      <c r="AM31" s="256">
        <f t="shared" si="3"/>
        <v>4.2500000000000003E-3</v>
      </c>
      <c r="AO31" s="253">
        <v>42031</v>
      </c>
      <c r="AP31" s="256">
        <f t="shared" si="4"/>
        <v>1.3166666666666667E-2</v>
      </c>
      <c r="AQ31" s="253">
        <v>42396</v>
      </c>
      <c r="AR31" s="256">
        <f t="shared" si="5"/>
        <v>3.9166666666666664E-3</v>
      </c>
      <c r="BD31" s="279" t="s">
        <v>211</v>
      </c>
      <c r="BE31" s="295">
        <f>(1+$AF$18/4*2)*(1+$AF$19)-1</f>
        <v>7.9963999999999924E-2</v>
      </c>
      <c r="BF31" s="295">
        <f>(1+$AG$18/4*2)*(1+$AG$19)-1</f>
        <v>0.11411300000000013</v>
      </c>
      <c r="BG31" s="302"/>
      <c r="BH31" s="302"/>
      <c r="BI31" s="295">
        <f t="shared" ref="BI31:BI33" si="24">$AF$20</f>
        <v>8.8999999999999996E-2</v>
      </c>
      <c r="BJ31" s="295">
        <f t="shared" ref="BJ31:BJ33" si="25">$AG$20</f>
        <v>0.158</v>
      </c>
    </row>
    <row r="32" spans="1:78" hidden="1" x14ac:dyDescent="0.2">
      <c r="A32" s="31"/>
      <c r="B32" s="44"/>
      <c r="D32" s="14">
        <v>28</v>
      </c>
      <c r="E32" s="12">
        <v>41302</v>
      </c>
      <c r="F32" s="15">
        <f t="shared" si="13"/>
        <v>5.7500000000000008E-3</v>
      </c>
      <c r="H32" s="14">
        <v>28</v>
      </c>
      <c r="I32" s="12">
        <v>41667</v>
      </c>
      <c r="J32" s="15">
        <f t="shared" si="14"/>
        <v>5.416666666666666E-3</v>
      </c>
      <c r="K32" s="4"/>
      <c r="L32" s="14">
        <v>28</v>
      </c>
      <c r="M32" s="12">
        <v>42032</v>
      </c>
      <c r="N32" s="15">
        <f t="shared" si="19"/>
        <v>4.5833333333333334E-3</v>
      </c>
      <c r="O32" s="141"/>
      <c r="P32" s="14">
        <v>28</v>
      </c>
      <c r="Q32" s="12">
        <v>41667</v>
      </c>
      <c r="R32" s="15">
        <f t="shared" si="15"/>
        <v>4.2500000000000003E-3</v>
      </c>
      <c r="S32" s="4"/>
      <c r="T32" s="14">
        <v>28</v>
      </c>
      <c r="U32" s="12">
        <v>42032</v>
      </c>
      <c r="V32" s="15">
        <f t="shared" si="20"/>
        <v>4.2500000000000003E-3</v>
      </c>
      <c r="X32" s="44">
        <f>X24*X25*X26*X27*X28*X29</f>
        <v>1.6452752764606962</v>
      </c>
      <c r="Z32" s="144">
        <f>Z24*Z25*Z26*Z27*Z28*Z29</f>
        <v>1.6624345765187023</v>
      </c>
      <c r="AA32" s="14">
        <v>28</v>
      </c>
      <c r="AB32" s="12">
        <v>40936</v>
      </c>
      <c r="AC32" s="15">
        <f t="shared" si="21"/>
        <v>6.083333333333333E-3</v>
      </c>
      <c r="AI32" s="255">
        <v>28</v>
      </c>
      <c r="AJ32" s="253">
        <v>42032</v>
      </c>
      <c r="AK32" s="256">
        <f t="shared" si="7"/>
        <v>7.4166666666666669E-3</v>
      </c>
      <c r="AL32" s="253">
        <v>42397</v>
      </c>
      <c r="AM32" s="256">
        <f t="shared" si="3"/>
        <v>4.2500000000000003E-3</v>
      </c>
      <c r="AO32" s="253">
        <v>42032</v>
      </c>
      <c r="AP32" s="256">
        <f t="shared" si="4"/>
        <v>1.3166666666666667E-2</v>
      </c>
      <c r="AQ32" s="253">
        <v>42397</v>
      </c>
      <c r="AR32" s="256">
        <f t="shared" si="5"/>
        <v>3.9166666666666664E-3</v>
      </c>
      <c r="BD32" s="279" t="s">
        <v>207</v>
      </c>
      <c r="BE32" s="295">
        <f>(1+$AF$18/4*1)*(1+$AF$19)-1</f>
        <v>6.3981999999999983E-2</v>
      </c>
      <c r="BF32" s="295">
        <f>(1+$AG$18/4*1)*(1+$AG$19)-1</f>
        <v>9.6056500000000211E-2</v>
      </c>
      <c r="BG32" s="302"/>
      <c r="BH32" s="302"/>
      <c r="BI32" s="295">
        <f t="shared" si="24"/>
        <v>8.8999999999999996E-2</v>
      </c>
      <c r="BJ32" s="295">
        <f t="shared" si="25"/>
        <v>0.158</v>
      </c>
    </row>
    <row r="33" spans="1:62" hidden="1" x14ac:dyDescent="0.2">
      <c r="A33" s="31"/>
      <c r="B33" s="44"/>
      <c r="D33" s="14">
        <v>29</v>
      </c>
      <c r="E33" s="12">
        <v>41303</v>
      </c>
      <c r="F33" s="15">
        <f t="shared" si="13"/>
        <v>5.7500000000000008E-3</v>
      </c>
      <c r="H33" s="14">
        <v>29</v>
      </c>
      <c r="I33" s="12">
        <v>41668</v>
      </c>
      <c r="J33" s="15">
        <f t="shared" si="14"/>
        <v>5.416666666666666E-3</v>
      </c>
      <c r="K33" s="4"/>
      <c r="L33" s="14">
        <v>29</v>
      </c>
      <c r="M33" s="12">
        <v>42033</v>
      </c>
      <c r="N33" s="15">
        <f t="shared" si="19"/>
        <v>4.5833333333333334E-3</v>
      </c>
      <c r="O33" s="141"/>
      <c r="P33" s="14">
        <v>29</v>
      </c>
      <c r="Q33" s="12">
        <v>41668</v>
      </c>
      <c r="R33" s="15">
        <f t="shared" si="15"/>
        <v>4.2500000000000003E-3</v>
      </c>
      <c r="S33" s="4"/>
      <c r="T33" s="14">
        <v>29</v>
      </c>
      <c r="U33" s="12">
        <v>42033</v>
      </c>
      <c r="V33" s="15">
        <f t="shared" si="20"/>
        <v>4.2500000000000003E-3</v>
      </c>
      <c r="Z33" s="144">
        <f>Z25*Z26*Z27*Z28*Z29*Z30*Z24</f>
        <v>1.7522060436507121</v>
      </c>
      <c r="AA33" s="14">
        <v>29</v>
      </c>
      <c r="AB33" s="12">
        <v>40937</v>
      </c>
      <c r="AC33" s="15">
        <f t="shared" si="21"/>
        <v>6.083333333333333E-3</v>
      </c>
      <c r="AI33" s="255">
        <v>29</v>
      </c>
      <c r="AJ33" s="253">
        <v>42033</v>
      </c>
      <c r="AK33" s="256">
        <f t="shared" si="7"/>
        <v>7.4166666666666669E-3</v>
      </c>
      <c r="AL33" s="253">
        <v>42398</v>
      </c>
      <c r="AM33" s="256">
        <f t="shared" si="3"/>
        <v>4.2500000000000003E-3</v>
      </c>
      <c r="AO33" s="253">
        <v>42033</v>
      </c>
      <c r="AP33" s="256">
        <f t="shared" si="4"/>
        <v>1.3166666666666667E-2</v>
      </c>
      <c r="AQ33" s="253">
        <v>42398</v>
      </c>
      <c r="AR33" s="256">
        <f t="shared" si="5"/>
        <v>3.9166666666666664E-3</v>
      </c>
      <c r="BD33" s="279" t="s">
        <v>214</v>
      </c>
      <c r="BE33" s="295">
        <f>$AF$19</f>
        <v>4.8000000000000001E-2</v>
      </c>
      <c r="BF33" s="295">
        <f>$AG$19</f>
        <v>7.8E-2</v>
      </c>
      <c r="BG33" s="302"/>
      <c r="BH33" s="302"/>
      <c r="BI33" s="295">
        <f t="shared" si="24"/>
        <v>8.8999999999999996E-2</v>
      </c>
      <c r="BJ33" s="295">
        <f t="shared" si="25"/>
        <v>0.158</v>
      </c>
    </row>
    <row r="34" spans="1:62" ht="38.25" hidden="1" x14ac:dyDescent="0.2">
      <c r="A34" s="31"/>
      <c r="B34" s="44"/>
      <c r="D34" s="14">
        <v>30</v>
      </c>
      <c r="E34" s="12">
        <v>41304</v>
      </c>
      <c r="F34" s="15">
        <f t="shared" si="13"/>
        <v>5.7500000000000008E-3</v>
      </c>
      <c r="H34" s="14">
        <v>30</v>
      </c>
      <c r="I34" s="12">
        <v>41669</v>
      </c>
      <c r="J34" s="15">
        <f t="shared" si="14"/>
        <v>5.416666666666666E-3</v>
      </c>
      <c r="K34" s="4"/>
      <c r="L34" s="14">
        <v>30</v>
      </c>
      <c r="M34" s="12">
        <v>42034</v>
      </c>
      <c r="N34" s="15">
        <f t="shared" si="19"/>
        <v>4.5833333333333334E-3</v>
      </c>
      <c r="O34" s="141"/>
      <c r="P34" s="14">
        <v>30</v>
      </c>
      <c r="Q34" s="12">
        <v>41669</v>
      </c>
      <c r="R34" s="15">
        <f t="shared" si="15"/>
        <v>4.2500000000000003E-3</v>
      </c>
      <c r="S34" s="4"/>
      <c r="T34" s="14">
        <v>30</v>
      </c>
      <c r="U34" s="12">
        <v>42034</v>
      </c>
      <c r="V34" s="15">
        <f t="shared" si="20"/>
        <v>4.2500000000000003E-3</v>
      </c>
      <c r="W34" s="28" t="s">
        <v>30</v>
      </c>
      <c r="X34" s="28" t="s">
        <v>31</v>
      </c>
      <c r="Y34" s="28" t="s">
        <v>192</v>
      </c>
      <c r="Z34" s="144">
        <f>Z26*Z27*Z28*Z29*Z30*Z31*Z25*Z24</f>
        <v>1.8380641397895967</v>
      </c>
      <c r="AA34" s="14">
        <v>30</v>
      </c>
      <c r="AB34" s="12">
        <v>40938</v>
      </c>
      <c r="AC34" s="15">
        <f t="shared" si="21"/>
        <v>6.083333333333333E-3</v>
      </c>
      <c r="AI34" s="255">
        <v>30</v>
      </c>
      <c r="AJ34" s="253">
        <v>42034</v>
      </c>
      <c r="AK34" s="256">
        <f t="shared" si="7"/>
        <v>7.4166666666666669E-3</v>
      </c>
      <c r="AL34" s="253">
        <v>42399</v>
      </c>
      <c r="AM34" s="256">
        <f t="shared" si="3"/>
        <v>4.2500000000000003E-3</v>
      </c>
      <c r="AO34" s="253">
        <v>42034</v>
      </c>
      <c r="AP34" s="256">
        <f t="shared" si="4"/>
        <v>1.3166666666666667E-2</v>
      </c>
      <c r="AQ34" s="253">
        <v>42399</v>
      </c>
      <c r="AR34" s="256">
        <f t="shared" si="5"/>
        <v>3.9166666666666664E-3</v>
      </c>
      <c r="BD34" s="280" t="s">
        <v>213</v>
      </c>
      <c r="BE34" s="298">
        <f>(1+$AF$18)*(1+$AF$17/4*3)*(1+$AF$19)-1</f>
        <v>0.16863632800000006</v>
      </c>
      <c r="BF34" s="298">
        <f>(1+$AG$18)*(1+$AG$17/4*3)*(1+$AG$19)-1</f>
        <v>0.19422214449999986</v>
      </c>
      <c r="BG34" s="303"/>
      <c r="BH34" s="303"/>
      <c r="BI34" s="298">
        <f>$AF$20</f>
        <v>8.8999999999999996E-2</v>
      </c>
      <c r="BJ34" s="298">
        <f>$AG$20</f>
        <v>0.158</v>
      </c>
    </row>
    <row r="35" spans="1:62" hidden="1" x14ac:dyDescent="0.2">
      <c r="A35" s="31"/>
      <c r="B35" s="44"/>
      <c r="D35" s="14">
        <v>31</v>
      </c>
      <c r="E35" s="12">
        <v>41305</v>
      </c>
      <c r="F35" s="15">
        <f t="shared" si="13"/>
        <v>5.7500000000000008E-3</v>
      </c>
      <c r="H35" s="14">
        <v>31</v>
      </c>
      <c r="I35" s="12">
        <v>41670</v>
      </c>
      <c r="J35" s="15">
        <f t="shared" si="14"/>
        <v>5.416666666666666E-3</v>
      </c>
      <c r="K35" s="4"/>
      <c r="L35" s="14">
        <v>31</v>
      </c>
      <c r="M35" s="12">
        <v>42035</v>
      </c>
      <c r="N35" s="15">
        <f t="shared" si="19"/>
        <v>4.5833333333333334E-3</v>
      </c>
      <c r="O35" s="141"/>
      <c r="P35" s="14">
        <v>31</v>
      </c>
      <c r="Q35" s="12">
        <v>41670</v>
      </c>
      <c r="R35" s="15">
        <f t="shared" si="15"/>
        <v>4.2500000000000003E-3</v>
      </c>
      <c r="S35" s="4"/>
      <c r="T35" s="14">
        <v>31</v>
      </c>
      <c r="U35" s="12">
        <v>42035</v>
      </c>
      <c r="V35" s="15">
        <f t="shared" si="20"/>
        <v>4.2500000000000003E-3</v>
      </c>
      <c r="W35" s="31">
        <v>2008</v>
      </c>
      <c r="X35" s="32">
        <v>8.7999999999999995E-2</v>
      </c>
      <c r="Y35" s="32">
        <v>0.185</v>
      </c>
      <c r="AA35" s="14">
        <v>31</v>
      </c>
      <c r="AB35" s="12">
        <v>40939</v>
      </c>
      <c r="AC35" s="15">
        <f t="shared" si="21"/>
        <v>6.083333333333333E-3</v>
      </c>
      <c r="AI35" s="255">
        <v>31</v>
      </c>
      <c r="AJ35" s="253">
        <v>42035</v>
      </c>
      <c r="AK35" s="256">
        <f t="shared" si="7"/>
        <v>7.4166666666666669E-3</v>
      </c>
      <c r="AL35" s="253">
        <v>42400</v>
      </c>
      <c r="AM35" s="256">
        <f t="shared" si="3"/>
        <v>4.2500000000000003E-3</v>
      </c>
      <c r="AO35" s="253">
        <v>42035</v>
      </c>
      <c r="AP35" s="256">
        <f t="shared" si="4"/>
        <v>1.3166666666666667E-2</v>
      </c>
      <c r="AQ35" s="253">
        <v>42400</v>
      </c>
      <c r="AR35" s="256">
        <f t="shared" si="5"/>
        <v>3.9166666666666664E-3</v>
      </c>
      <c r="BD35" s="280" t="s">
        <v>212</v>
      </c>
      <c r="BE35" s="298">
        <f>(1+$AF$18)*(1+$AF$17/4*2)*(1+$AF$19)-1</f>
        <v>0.14973355199999983</v>
      </c>
      <c r="BF35" s="298">
        <f>(1+$AG$18)*(1+$AG$17/4*2)*(1+$AG$19)-1</f>
        <v>0.17955676300000012</v>
      </c>
      <c r="BG35" s="303"/>
      <c r="BH35" s="303"/>
      <c r="BI35" s="298">
        <f t="shared" ref="BI35:BI37" si="26">$AF$20</f>
        <v>8.8999999999999996E-2</v>
      </c>
      <c r="BJ35" s="298">
        <f t="shared" ref="BJ35:BJ37" si="27">$AG$20</f>
        <v>0.158</v>
      </c>
    </row>
    <row r="36" spans="1:62" hidden="1" x14ac:dyDescent="0.2">
      <c r="A36" s="31"/>
      <c r="B36" s="44"/>
      <c r="D36" s="14">
        <v>32</v>
      </c>
      <c r="E36" s="12">
        <v>41306</v>
      </c>
      <c r="F36" s="50">
        <f t="shared" ref="F36:F63" si="28">F5+F$4/D$4/100</f>
        <v>8.6250000000000007E-3</v>
      </c>
      <c r="H36" s="14">
        <v>32</v>
      </c>
      <c r="I36" s="12">
        <v>41671</v>
      </c>
      <c r="J36" s="50">
        <f t="shared" ref="J36:J63" si="29">J5+J$4/H$4/100</f>
        <v>8.1249999999999985E-3</v>
      </c>
      <c r="K36" s="4"/>
      <c r="L36" s="14">
        <v>32</v>
      </c>
      <c r="M36" s="12">
        <v>42036</v>
      </c>
      <c r="N36" s="50">
        <f>N5+N$4/L$4/100</f>
        <v>6.875E-3</v>
      </c>
      <c r="O36" s="141"/>
      <c r="P36" s="14">
        <v>32</v>
      </c>
      <c r="Q36" s="12">
        <v>41671</v>
      </c>
      <c r="R36" s="50">
        <f t="shared" ref="R36:R63" si="30">R5+R$4/P$4/100</f>
        <v>6.3750000000000005E-3</v>
      </c>
      <c r="S36" s="4"/>
      <c r="T36" s="14">
        <v>32</v>
      </c>
      <c r="U36" s="12">
        <v>42036</v>
      </c>
      <c r="V36" s="50">
        <f>V5+V$4/T$4/100</f>
        <v>6.3750000000000005E-3</v>
      </c>
      <c r="W36" s="31">
        <v>2009</v>
      </c>
      <c r="X36" s="32">
        <v>0.08</v>
      </c>
      <c r="Y36" s="32">
        <v>7.6999999999999999E-2</v>
      </c>
      <c r="AA36" s="51">
        <v>32</v>
      </c>
      <c r="AB36" s="49">
        <v>40940</v>
      </c>
      <c r="AC36" s="50">
        <f>AC5+AC$4/AA$4/100</f>
        <v>9.1249999999999994E-3</v>
      </c>
      <c r="AI36" s="255">
        <v>32</v>
      </c>
      <c r="AJ36" s="258">
        <v>42036</v>
      </c>
      <c r="AK36" s="256">
        <f t="shared" si="7"/>
        <v>7.4166666666666669E-3</v>
      </c>
      <c r="AL36" s="253">
        <v>42401</v>
      </c>
      <c r="AM36" s="256">
        <f t="shared" si="3"/>
        <v>4.2500000000000003E-3</v>
      </c>
      <c r="AO36" s="258">
        <v>42036</v>
      </c>
      <c r="AP36" s="256">
        <f t="shared" si="4"/>
        <v>1.3166666666666667E-2</v>
      </c>
      <c r="AQ36" s="253">
        <v>42401</v>
      </c>
      <c r="AR36" s="256">
        <f t="shared" si="5"/>
        <v>3.9166666666666664E-3</v>
      </c>
      <c r="BC36" s="44"/>
      <c r="BD36" s="280" t="s">
        <v>230</v>
      </c>
      <c r="BE36" s="298">
        <f>(1+$AF$18)*(1+$AF$17/4*1)*(1+$AF$19)-1</f>
        <v>0.13083077599999982</v>
      </c>
      <c r="BF36" s="298">
        <f>(1+$AG$18)*(1+$AG$17/4*1)*(1+$AG$19)-1</f>
        <v>0.16489138149999993</v>
      </c>
      <c r="BG36" s="303"/>
      <c r="BH36" s="303"/>
      <c r="BI36" s="298">
        <f t="shared" si="26"/>
        <v>8.8999999999999996E-2</v>
      </c>
      <c r="BJ36" s="298">
        <f t="shared" si="27"/>
        <v>0.158</v>
      </c>
    </row>
    <row r="37" spans="1:62" hidden="1" x14ac:dyDescent="0.2">
      <c r="A37" s="31"/>
      <c r="B37" s="44"/>
      <c r="D37" s="14">
        <v>33</v>
      </c>
      <c r="E37" s="12">
        <v>41307</v>
      </c>
      <c r="F37" s="15">
        <f t="shared" si="28"/>
        <v>8.6250000000000007E-3</v>
      </c>
      <c r="H37" s="14">
        <v>33</v>
      </c>
      <c r="I37" s="12">
        <v>41672</v>
      </c>
      <c r="J37" s="15">
        <f t="shared" si="29"/>
        <v>8.1249999999999985E-3</v>
      </c>
      <c r="K37" s="4"/>
      <c r="L37" s="14">
        <v>33</v>
      </c>
      <c r="M37" s="12">
        <v>42037</v>
      </c>
      <c r="N37" s="15">
        <f t="shared" ref="N37:N55" si="31">N6+N$4/L$4/100</f>
        <v>6.875E-3</v>
      </c>
      <c r="O37" s="141"/>
      <c r="P37" s="14">
        <v>33</v>
      </c>
      <c r="Q37" s="12">
        <v>41672</v>
      </c>
      <c r="R37" s="15">
        <f t="shared" si="30"/>
        <v>6.3750000000000005E-3</v>
      </c>
      <c r="S37" s="4"/>
      <c r="T37" s="14">
        <v>33</v>
      </c>
      <c r="U37" s="12">
        <v>42037</v>
      </c>
      <c r="V37" s="15">
        <f t="shared" ref="V37:V55" si="32">V6+V$4/T$4/100</f>
        <v>6.3750000000000005E-3</v>
      </c>
      <c r="W37" s="31">
        <v>2010</v>
      </c>
      <c r="X37" s="32">
        <v>0.08</v>
      </c>
      <c r="Y37" s="32">
        <v>8.2000000000000003E-2</v>
      </c>
      <c r="AA37" s="14">
        <v>33</v>
      </c>
      <c r="AB37" s="12">
        <v>40941</v>
      </c>
      <c r="AC37" s="15">
        <f t="shared" ref="AC37:AC55" si="33">AC6+AC$4/AA$4/100</f>
        <v>9.1249999999999994E-3</v>
      </c>
      <c r="AI37" s="255">
        <v>33</v>
      </c>
      <c r="AJ37" s="253">
        <v>42037</v>
      </c>
      <c r="AK37" s="256">
        <f t="shared" si="7"/>
        <v>7.4166666666666669E-3</v>
      </c>
      <c r="AL37" s="253">
        <v>42402</v>
      </c>
      <c r="AM37" s="256">
        <f t="shared" si="3"/>
        <v>4.2500000000000003E-3</v>
      </c>
      <c r="AO37" s="253">
        <v>42037</v>
      </c>
      <c r="AP37" s="256">
        <f t="shared" si="4"/>
        <v>1.3166666666666667E-2</v>
      </c>
      <c r="AQ37" s="253">
        <v>42402</v>
      </c>
      <c r="AR37" s="256">
        <f t="shared" si="5"/>
        <v>3.9166666666666664E-3</v>
      </c>
      <c r="BC37" s="44"/>
      <c r="BD37" s="280" t="s">
        <v>208</v>
      </c>
      <c r="BE37" s="298">
        <f>(1+$AF$18)*(1+$AF$19)-1</f>
        <v>0.11192800000000003</v>
      </c>
      <c r="BF37" s="298">
        <f>(1+$AG$18)*(1+$AG$19)-1</f>
        <v>0.15022599999999997</v>
      </c>
      <c r="BG37" s="303"/>
      <c r="BH37" s="303"/>
      <c r="BI37" s="298">
        <f t="shared" si="26"/>
        <v>8.8999999999999996E-2</v>
      </c>
      <c r="BJ37" s="298">
        <f t="shared" si="27"/>
        <v>0.158</v>
      </c>
    </row>
    <row r="38" spans="1:62" hidden="1" x14ac:dyDescent="0.2">
      <c r="A38" s="31"/>
      <c r="B38" s="44"/>
      <c r="D38" s="14">
        <v>34</v>
      </c>
      <c r="E38" s="12">
        <v>41308</v>
      </c>
      <c r="F38" s="15">
        <f t="shared" si="28"/>
        <v>8.6250000000000007E-3</v>
      </c>
      <c r="H38" s="14">
        <v>34</v>
      </c>
      <c r="I38" s="12">
        <v>41673</v>
      </c>
      <c r="J38" s="15">
        <f t="shared" si="29"/>
        <v>8.1249999999999985E-3</v>
      </c>
      <c r="K38" s="4"/>
      <c r="L38" s="14">
        <v>34</v>
      </c>
      <c r="M38" s="12">
        <v>42038</v>
      </c>
      <c r="N38" s="15">
        <f t="shared" si="31"/>
        <v>6.875E-3</v>
      </c>
      <c r="O38" s="141"/>
      <c r="P38" s="14">
        <v>34</v>
      </c>
      <c r="Q38" s="12">
        <v>41673</v>
      </c>
      <c r="R38" s="15">
        <f t="shared" si="30"/>
        <v>6.3750000000000005E-3</v>
      </c>
      <c r="S38" s="4"/>
      <c r="T38" s="14">
        <v>34</v>
      </c>
      <c r="U38" s="12">
        <v>42038</v>
      </c>
      <c r="V38" s="15">
        <f t="shared" si="32"/>
        <v>6.3750000000000005E-3</v>
      </c>
      <c r="W38" s="31">
        <v>2011</v>
      </c>
      <c r="X38" s="32">
        <v>7.5999999999999998E-2</v>
      </c>
      <c r="Y38" s="143">
        <v>8.6999999999999994E-2</v>
      </c>
      <c r="AA38" s="14">
        <v>34</v>
      </c>
      <c r="AB38" s="12">
        <v>40942</v>
      </c>
      <c r="AC38" s="15">
        <f t="shared" si="33"/>
        <v>9.1249999999999994E-3</v>
      </c>
      <c r="AI38" s="255">
        <v>34</v>
      </c>
      <c r="AJ38" s="253">
        <v>42038</v>
      </c>
      <c r="AK38" s="256">
        <f t="shared" si="7"/>
        <v>7.4166666666666669E-3</v>
      </c>
      <c r="AL38" s="253">
        <v>42403</v>
      </c>
      <c r="AM38" s="256">
        <f t="shared" si="3"/>
        <v>4.2500000000000003E-3</v>
      </c>
      <c r="AO38" s="253">
        <v>42038</v>
      </c>
      <c r="AP38" s="256">
        <f t="shared" si="4"/>
        <v>1.3166666666666667E-2</v>
      </c>
      <c r="AQ38" s="253">
        <v>42403</v>
      </c>
      <c r="AR38" s="256">
        <f t="shared" si="5"/>
        <v>3.9166666666666664E-3</v>
      </c>
      <c r="BC38" s="44"/>
      <c r="BD38" s="286" t="s">
        <v>298</v>
      </c>
      <c r="BE38" s="296">
        <f>(1+$AF$18)*(1+$AF$17)*(1+$AF$16/4*3)*(1+$AF$19)-1</f>
        <v>0.265916684864</v>
      </c>
      <c r="BF38" s="296">
        <f>(1+$AG$18)*(1+$AG$17)*(1+$AG$16/4*3)*(1+$AG$19)-1</f>
        <v>0.28504744013799987</v>
      </c>
      <c r="BG38" s="301"/>
      <c r="BH38" s="301"/>
      <c r="BI38" s="296">
        <f>$AF$20</f>
        <v>8.8999999999999996E-2</v>
      </c>
      <c r="BJ38" s="296">
        <f>$AG$20</f>
        <v>0.158</v>
      </c>
    </row>
    <row r="39" spans="1:62" hidden="1" x14ac:dyDescent="0.2">
      <c r="B39" s="44"/>
      <c r="D39" s="14">
        <v>35</v>
      </c>
      <c r="E39" s="12">
        <v>41309</v>
      </c>
      <c r="F39" s="15">
        <f t="shared" si="28"/>
        <v>8.6250000000000007E-3</v>
      </c>
      <c r="H39" s="14">
        <v>35</v>
      </c>
      <c r="I39" s="12">
        <v>41674</v>
      </c>
      <c r="J39" s="15">
        <f t="shared" si="29"/>
        <v>8.1249999999999985E-3</v>
      </c>
      <c r="K39" s="4"/>
      <c r="L39" s="14">
        <v>35</v>
      </c>
      <c r="M39" s="12">
        <v>42039</v>
      </c>
      <c r="N39" s="15">
        <f t="shared" si="31"/>
        <v>6.875E-3</v>
      </c>
      <c r="O39" s="141"/>
      <c r="P39" s="14">
        <v>35</v>
      </c>
      <c r="Q39" s="12">
        <v>41674</v>
      </c>
      <c r="R39" s="15">
        <f t="shared" si="30"/>
        <v>6.3750000000000005E-3</v>
      </c>
      <c r="S39" s="4"/>
      <c r="T39" s="14">
        <v>35</v>
      </c>
      <c r="U39" s="12">
        <v>42039</v>
      </c>
      <c r="V39" s="15">
        <f t="shared" si="32"/>
        <v>6.3750000000000005E-3</v>
      </c>
      <c r="W39" s="31">
        <v>2012</v>
      </c>
      <c r="X39" s="32">
        <v>7.2999999999999995E-2</v>
      </c>
      <c r="Y39" s="142">
        <v>7.6999999999999999E-2</v>
      </c>
      <c r="AA39" s="14">
        <v>35</v>
      </c>
      <c r="AB39" s="12">
        <v>40943</v>
      </c>
      <c r="AC39" s="15">
        <f t="shared" si="33"/>
        <v>9.1249999999999994E-3</v>
      </c>
      <c r="AI39" s="255">
        <v>35</v>
      </c>
      <c r="AJ39" s="253">
        <v>42039</v>
      </c>
      <c r="AK39" s="256">
        <f t="shared" si="7"/>
        <v>7.4166666666666669E-3</v>
      </c>
      <c r="AL39" s="253">
        <v>42404</v>
      </c>
      <c r="AM39" s="256">
        <f t="shared" si="3"/>
        <v>4.2500000000000003E-3</v>
      </c>
      <c r="AO39" s="253">
        <v>42039</v>
      </c>
      <c r="AP39" s="256">
        <f t="shared" si="4"/>
        <v>1.3166666666666667E-2</v>
      </c>
      <c r="AQ39" s="253">
        <v>42404</v>
      </c>
      <c r="AR39" s="256">
        <f t="shared" si="5"/>
        <v>3.9166666666666664E-3</v>
      </c>
      <c r="BC39" s="44"/>
      <c r="BD39" s="286" t="s">
        <v>296</v>
      </c>
      <c r="BE39" s="296">
        <f>(1+$AF$18)*(1+$AF$17)*(1+$AF$16/4*1)*(1+$AF$19)-1</f>
        <v>0.21366496428800019</v>
      </c>
      <c r="BF39" s="296">
        <f>(1+$AG$18)*(1+$AG$17)*(1+$AG$16/4*1)*(1+$AG$19)-1</f>
        <v>0.23427416404599977</v>
      </c>
      <c r="BG39" s="304"/>
      <c r="BH39" s="304"/>
      <c r="BI39" s="296">
        <f t="shared" si="17"/>
        <v>8.8999999999999996E-2</v>
      </c>
      <c r="BJ39" s="296">
        <f t="shared" si="18"/>
        <v>0.158</v>
      </c>
    </row>
    <row r="40" spans="1:62" hidden="1" x14ac:dyDescent="0.2">
      <c r="D40" s="14">
        <v>36</v>
      </c>
      <c r="E40" s="12">
        <v>41310</v>
      </c>
      <c r="F40" s="15">
        <f t="shared" si="28"/>
        <v>8.6250000000000007E-3</v>
      </c>
      <c r="H40" s="14">
        <v>36</v>
      </c>
      <c r="I40" s="12">
        <v>41675</v>
      </c>
      <c r="J40" s="15">
        <f t="shared" si="29"/>
        <v>8.1249999999999985E-3</v>
      </c>
      <c r="K40" s="4"/>
      <c r="L40" s="14">
        <v>36</v>
      </c>
      <c r="M40" s="12">
        <v>42040</v>
      </c>
      <c r="N40" s="15">
        <f t="shared" si="31"/>
        <v>6.875E-3</v>
      </c>
      <c r="O40" s="141"/>
      <c r="P40" s="14">
        <v>36</v>
      </c>
      <c r="Q40" s="12">
        <v>41675</v>
      </c>
      <c r="R40" s="15">
        <f t="shared" si="30"/>
        <v>6.3750000000000005E-3</v>
      </c>
      <c r="S40" s="4"/>
      <c r="T40" s="14">
        <v>36</v>
      </c>
      <c r="U40" s="12">
        <v>42040</v>
      </c>
      <c r="V40" s="15">
        <f t="shared" si="32"/>
        <v>6.3750000000000005E-3</v>
      </c>
      <c r="W40" s="31">
        <v>2013</v>
      </c>
      <c r="X40" s="32">
        <v>6.9000000000000006E-2</v>
      </c>
      <c r="Y40" s="142">
        <v>7.1999999999999995E-2</v>
      </c>
      <c r="AA40" s="14">
        <v>36</v>
      </c>
      <c r="AB40" s="12">
        <v>40944</v>
      </c>
      <c r="AC40" s="15">
        <f t="shared" si="33"/>
        <v>9.1249999999999994E-3</v>
      </c>
      <c r="AI40" s="255">
        <v>36</v>
      </c>
      <c r="AJ40" s="253">
        <v>42040</v>
      </c>
      <c r="AK40" s="256">
        <f t="shared" si="7"/>
        <v>7.4166666666666669E-3</v>
      </c>
      <c r="AL40" s="253">
        <v>42405</v>
      </c>
      <c r="AM40" s="256">
        <f t="shared" si="3"/>
        <v>4.2500000000000003E-3</v>
      </c>
      <c r="AO40" s="253">
        <v>42040</v>
      </c>
      <c r="AP40" s="256">
        <f t="shared" si="4"/>
        <v>1.3166666666666667E-2</v>
      </c>
      <c r="AQ40" s="253">
        <v>42405</v>
      </c>
      <c r="AR40" s="256">
        <f t="shared" si="5"/>
        <v>3.9166666666666664E-3</v>
      </c>
      <c r="BB40" s="44"/>
    </row>
    <row r="41" spans="1:62" hidden="1" x14ac:dyDescent="0.2">
      <c r="D41" s="14">
        <v>37</v>
      </c>
      <c r="E41" s="12">
        <v>41311</v>
      </c>
      <c r="F41" s="15">
        <f t="shared" si="28"/>
        <v>8.6250000000000007E-3</v>
      </c>
      <c r="H41" s="14">
        <v>37</v>
      </c>
      <c r="I41" s="12">
        <v>41676</v>
      </c>
      <c r="J41" s="15">
        <f t="shared" si="29"/>
        <v>8.1249999999999985E-3</v>
      </c>
      <c r="K41" s="4"/>
      <c r="L41" s="14">
        <v>37</v>
      </c>
      <c r="M41" s="12">
        <v>42041</v>
      </c>
      <c r="N41" s="15">
        <f t="shared" si="31"/>
        <v>6.875E-3</v>
      </c>
      <c r="O41" s="141"/>
      <c r="P41" s="14">
        <v>37</v>
      </c>
      <c r="Q41" s="12">
        <v>41676</v>
      </c>
      <c r="R41" s="15">
        <f t="shared" si="30"/>
        <v>6.3750000000000005E-3</v>
      </c>
      <c r="S41" s="4"/>
      <c r="T41" s="14">
        <v>37</v>
      </c>
      <c r="U41" s="12">
        <v>42041</v>
      </c>
      <c r="V41" s="15">
        <f t="shared" si="32"/>
        <v>6.3750000000000005E-3</v>
      </c>
      <c r="W41" s="31">
        <v>2014</v>
      </c>
      <c r="X41" s="32">
        <v>6.5000000000000002E-2</v>
      </c>
      <c r="Y41" s="142">
        <v>7.0000000000000007E-2</v>
      </c>
      <c r="AA41" s="14">
        <v>37</v>
      </c>
      <c r="AB41" s="12">
        <v>40945</v>
      </c>
      <c r="AC41" s="15">
        <f t="shared" si="33"/>
        <v>9.1249999999999994E-3</v>
      </c>
      <c r="AI41" s="255">
        <v>37</v>
      </c>
      <c r="AJ41" s="253">
        <v>42041</v>
      </c>
      <c r="AK41" s="259">
        <f t="shared" ref="AK41:AK68" si="34">AK$39+AK$4/AI$4/100</f>
        <v>1.4833333333333334E-2</v>
      </c>
      <c r="AL41" s="253">
        <v>42406</v>
      </c>
      <c r="AM41" s="259">
        <f t="shared" ref="AM41:AM68" si="35">AM$39+AM$4/AI$4/100</f>
        <v>8.5000000000000006E-3</v>
      </c>
      <c r="AO41" s="253">
        <v>42041</v>
      </c>
      <c r="AP41" s="259">
        <f t="shared" ref="AP41:AP68" si="36">AP$39+AP$4/$AI$4/100</f>
        <v>2.6333333333333334E-2</v>
      </c>
      <c r="AQ41" s="253">
        <v>42406</v>
      </c>
      <c r="AR41" s="259">
        <f t="shared" ref="AR41:AR68" si="37">AR$39+AR$4/$AI$4/100</f>
        <v>7.8333333333333328E-3</v>
      </c>
    </row>
    <row r="42" spans="1:62" hidden="1" x14ac:dyDescent="0.2">
      <c r="D42" s="14">
        <v>38</v>
      </c>
      <c r="E42" s="12">
        <v>41312</v>
      </c>
      <c r="F42" s="15">
        <f t="shared" si="28"/>
        <v>8.6250000000000007E-3</v>
      </c>
      <c r="H42" s="14">
        <v>38</v>
      </c>
      <c r="I42" s="12">
        <v>41677</v>
      </c>
      <c r="J42" s="15">
        <f t="shared" si="29"/>
        <v>8.1249999999999985E-3</v>
      </c>
      <c r="K42" s="4"/>
      <c r="L42" s="14">
        <v>38</v>
      </c>
      <c r="M42" s="12">
        <v>42042</v>
      </c>
      <c r="N42" s="15">
        <f t="shared" si="31"/>
        <v>6.875E-3</v>
      </c>
      <c r="O42" s="141"/>
      <c r="P42" s="14">
        <v>38</v>
      </c>
      <c r="Q42" s="12">
        <v>41677</v>
      </c>
      <c r="R42" s="15">
        <f t="shared" si="30"/>
        <v>6.3750000000000005E-3</v>
      </c>
      <c r="S42" s="4"/>
      <c r="T42" s="14">
        <v>38</v>
      </c>
      <c r="U42" s="12">
        <v>42042</v>
      </c>
      <c r="V42" s="15">
        <f t="shared" si="32"/>
        <v>6.3750000000000005E-3</v>
      </c>
      <c r="W42" s="31">
        <v>2015</v>
      </c>
      <c r="X42" s="32"/>
      <c r="Y42" s="142">
        <v>6.5000000000000002E-2</v>
      </c>
      <c r="AA42" s="14">
        <v>38</v>
      </c>
      <c r="AB42" s="12">
        <v>40946</v>
      </c>
      <c r="AC42" s="15">
        <f t="shared" si="33"/>
        <v>9.1249999999999994E-3</v>
      </c>
      <c r="AI42" s="255">
        <v>38</v>
      </c>
      <c r="AJ42" s="253">
        <v>42042</v>
      </c>
      <c r="AK42" s="256">
        <f t="shared" si="34"/>
        <v>1.4833333333333334E-2</v>
      </c>
      <c r="AL42" s="253">
        <v>42407</v>
      </c>
      <c r="AM42" s="256">
        <f t="shared" si="35"/>
        <v>8.5000000000000006E-3</v>
      </c>
      <c r="AO42" s="253">
        <v>42042</v>
      </c>
      <c r="AP42" s="256">
        <f t="shared" si="36"/>
        <v>2.6333333333333334E-2</v>
      </c>
      <c r="AQ42" s="253">
        <v>42407</v>
      </c>
      <c r="AR42" s="256">
        <f t="shared" si="37"/>
        <v>7.8333333333333328E-3</v>
      </c>
      <c r="BD42" s="323" t="s">
        <v>282</v>
      </c>
      <c r="BE42" s="295">
        <f>(1+$AF$18/12*11)*(1+$AF$19)-1</f>
        <v>0.10660066666666657</v>
      </c>
      <c r="BF42" s="295">
        <f>(1+$AG$18/12*11)*(1+$AG$19)-1</f>
        <v>0.14420716666666666</v>
      </c>
      <c r="BG42" s="302"/>
      <c r="BH42" s="302"/>
      <c r="BI42" s="295">
        <f>$AF$20</f>
        <v>8.8999999999999996E-2</v>
      </c>
      <c r="BJ42" s="295">
        <f>$AG$20</f>
        <v>0.158</v>
      </c>
    </row>
    <row r="43" spans="1:62" hidden="1" x14ac:dyDescent="0.2">
      <c r="B43" s="44"/>
      <c r="D43" s="14">
        <v>39</v>
      </c>
      <c r="E43" s="12">
        <v>41313</v>
      </c>
      <c r="F43" s="15">
        <f t="shared" si="28"/>
        <v>8.6250000000000007E-3</v>
      </c>
      <c r="H43" s="14">
        <v>39</v>
      </c>
      <c r="I43" s="12">
        <v>41678</v>
      </c>
      <c r="J43" s="15">
        <f t="shared" si="29"/>
        <v>8.1249999999999985E-3</v>
      </c>
      <c r="K43" s="4"/>
      <c r="L43" s="14">
        <v>39</v>
      </c>
      <c r="M43" s="12">
        <v>42043</v>
      </c>
      <c r="N43" s="15">
        <f t="shared" si="31"/>
        <v>6.875E-3</v>
      </c>
      <c r="O43" s="141"/>
      <c r="P43" s="14">
        <v>39</v>
      </c>
      <c r="Q43" s="12">
        <v>41678</v>
      </c>
      <c r="R43" s="15">
        <f t="shared" si="30"/>
        <v>6.3750000000000005E-3</v>
      </c>
      <c r="S43" s="4"/>
      <c r="T43" s="14">
        <v>39</v>
      </c>
      <c r="U43" s="12">
        <v>42043</v>
      </c>
      <c r="V43" s="15">
        <f t="shared" si="32"/>
        <v>6.3750000000000005E-3</v>
      </c>
      <c r="AA43" s="14">
        <v>39</v>
      </c>
      <c r="AB43" s="12">
        <v>40947</v>
      </c>
      <c r="AC43" s="15">
        <f t="shared" si="33"/>
        <v>9.1249999999999994E-3</v>
      </c>
      <c r="AI43" s="255">
        <v>39</v>
      </c>
      <c r="AJ43" s="253">
        <v>42043</v>
      </c>
      <c r="AK43" s="256">
        <f t="shared" si="34"/>
        <v>1.4833333333333334E-2</v>
      </c>
      <c r="AL43" s="253">
        <v>42408</v>
      </c>
      <c r="AM43" s="256">
        <f t="shared" si="35"/>
        <v>8.5000000000000006E-3</v>
      </c>
      <c r="AO43" s="253">
        <v>42043</v>
      </c>
      <c r="AP43" s="256">
        <f t="shared" si="36"/>
        <v>2.6333333333333334E-2</v>
      </c>
      <c r="AQ43" s="253">
        <v>42408</v>
      </c>
      <c r="AR43" s="256">
        <f t="shared" si="37"/>
        <v>7.8333333333333328E-3</v>
      </c>
      <c r="BD43" s="323" t="s">
        <v>283</v>
      </c>
      <c r="BE43" s="295">
        <f>(1+$AF$18/12*10)*(1+$AF$19)-1</f>
        <v>0.10127333333333333</v>
      </c>
      <c r="BF43" s="295">
        <f>(1+$AG$18/12*10)*(1+$AG$19)-1</f>
        <v>0.13818833333333358</v>
      </c>
      <c r="BG43" s="302"/>
      <c r="BH43" s="302"/>
      <c r="BI43" s="295">
        <f>$AF$20</f>
        <v>8.8999999999999996E-2</v>
      </c>
      <c r="BJ43" s="295">
        <f t="shared" ref="BJ43:BJ52" si="38">$AG$20</f>
        <v>0.158</v>
      </c>
    </row>
    <row r="44" spans="1:62" hidden="1" x14ac:dyDescent="0.2">
      <c r="A44" s="186" t="s">
        <v>187</v>
      </c>
      <c r="B44" s="187"/>
      <c r="D44" s="14">
        <v>40</v>
      </c>
      <c r="E44" s="12">
        <v>41314</v>
      </c>
      <c r="F44" s="15">
        <f t="shared" si="28"/>
        <v>8.6250000000000007E-3</v>
      </c>
      <c r="H44" s="14">
        <v>40</v>
      </c>
      <c r="I44" s="12">
        <v>41679</v>
      </c>
      <c r="J44" s="15">
        <f t="shared" si="29"/>
        <v>8.1249999999999985E-3</v>
      </c>
      <c r="K44" s="4"/>
      <c r="L44" s="14">
        <v>40</v>
      </c>
      <c r="M44" s="12">
        <v>42044</v>
      </c>
      <c r="N44" s="15">
        <f t="shared" si="31"/>
        <v>6.875E-3</v>
      </c>
      <c r="O44" s="141"/>
      <c r="P44" s="14">
        <v>40</v>
      </c>
      <c r="Q44" s="12">
        <v>41679</v>
      </c>
      <c r="R44" s="15">
        <f t="shared" si="30"/>
        <v>6.3750000000000005E-3</v>
      </c>
      <c r="S44" s="4"/>
      <c r="T44" s="14">
        <v>40</v>
      </c>
      <c r="U44" s="12">
        <v>42044</v>
      </c>
      <c r="V44" s="15">
        <f t="shared" si="32"/>
        <v>6.3750000000000005E-3</v>
      </c>
      <c r="W44" s="31">
        <v>2008</v>
      </c>
      <c r="X44" s="44"/>
      <c r="Y44" s="44">
        <f>1+Y35</f>
        <v>1.1850000000000001</v>
      </c>
      <c r="AA44" s="14">
        <v>40</v>
      </c>
      <c r="AB44" s="12">
        <v>40948</v>
      </c>
      <c r="AC44" s="15">
        <f t="shared" si="33"/>
        <v>9.1249999999999994E-3</v>
      </c>
      <c r="AI44" s="255">
        <v>40</v>
      </c>
      <c r="AJ44" s="253">
        <v>42044</v>
      </c>
      <c r="AK44" s="256">
        <f t="shared" si="34"/>
        <v>1.4833333333333334E-2</v>
      </c>
      <c r="AL44" s="253">
        <v>42409</v>
      </c>
      <c r="AM44" s="256">
        <f t="shared" si="35"/>
        <v>8.5000000000000006E-3</v>
      </c>
      <c r="AO44" s="253">
        <v>42044</v>
      </c>
      <c r="AP44" s="256">
        <f t="shared" si="36"/>
        <v>2.6333333333333334E-2</v>
      </c>
      <c r="AQ44" s="253">
        <v>42409</v>
      </c>
      <c r="AR44" s="256">
        <f t="shared" si="37"/>
        <v>7.8333333333333328E-3</v>
      </c>
      <c r="BD44" s="323" t="s">
        <v>284</v>
      </c>
      <c r="BE44" s="295">
        <f>(1+$AF$18/12*9)*(1+$AF$19)-1</f>
        <v>9.5946000000000087E-2</v>
      </c>
      <c r="BF44" s="295">
        <f>(1+$AG$18/12*9)*(1+$AG$19)-1</f>
        <v>0.13216950000000005</v>
      </c>
      <c r="BG44" s="302"/>
      <c r="BH44" s="302"/>
      <c r="BI44" s="295">
        <f>$AF$20</f>
        <v>8.8999999999999996E-2</v>
      </c>
      <c r="BJ44" s="295">
        <f t="shared" si="38"/>
        <v>0.158</v>
      </c>
    </row>
    <row r="45" spans="1:62" hidden="1" x14ac:dyDescent="0.2">
      <c r="A45" s="28" t="s">
        <v>30</v>
      </c>
      <c r="B45" s="28" t="s">
        <v>31</v>
      </c>
      <c r="D45" s="14">
        <v>41</v>
      </c>
      <c r="E45" s="12">
        <v>41315</v>
      </c>
      <c r="F45" s="15">
        <f t="shared" si="28"/>
        <v>8.6250000000000007E-3</v>
      </c>
      <c r="H45" s="14">
        <v>41</v>
      </c>
      <c r="I45" s="12">
        <v>41680</v>
      </c>
      <c r="J45" s="15">
        <f t="shared" si="29"/>
        <v>8.1249999999999985E-3</v>
      </c>
      <c r="K45" s="4"/>
      <c r="L45" s="14">
        <v>41</v>
      </c>
      <c r="M45" s="12">
        <v>42045</v>
      </c>
      <c r="N45" s="15">
        <f t="shared" si="31"/>
        <v>6.875E-3</v>
      </c>
      <c r="O45" s="141"/>
      <c r="P45" s="14">
        <v>41</v>
      </c>
      <c r="Q45" s="12">
        <v>41680</v>
      </c>
      <c r="R45" s="15">
        <f t="shared" si="30"/>
        <v>6.3750000000000005E-3</v>
      </c>
      <c r="S45" s="4"/>
      <c r="T45" s="14">
        <v>41</v>
      </c>
      <c r="U45" s="12">
        <v>42045</v>
      </c>
      <c r="V45" s="15">
        <f t="shared" si="32"/>
        <v>6.3750000000000005E-3</v>
      </c>
      <c r="W45" s="31">
        <v>2009</v>
      </c>
      <c r="X45" s="44"/>
      <c r="Y45" s="44">
        <f t="shared" ref="Y45:Y51" si="39">1+Y36</f>
        <v>1.077</v>
      </c>
      <c r="AA45" s="14">
        <v>41</v>
      </c>
      <c r="AB45" s="12">
        <v>40949</v>
      </c>
      <c r="AC45" s="15">
        <f t="shared" si="33"/>
        <v>9.1249999999999994E-3</v>
      </c>
      <c r="AI45" s="255">
        <v>41</v>
      </c>
      <c r="AJ45" s="253">
        <v>42045</v>
      </c>
      <c r="AK45" s="256">
        <f t="shared" si="34"/>
        <v>1.4833333333333334E-2</v>
      </c>
      <c r="AL45" s="253">
        <v>42410</v>
      </c>
      <c r="AM45" s="256">
        <f t="shared" si="35"/>
        <v>8.5000000000000006E-3</v>
      </c>
      <c r="AO45" s="253">
        <v>42045</v>
      </c>
      <c r="AP45" s="256">
        <f t="shared" si="36"/>
        <v>2.6333333333333334E-2</v>
      </c>
      <c r="AQ45" s="253">
        <v>42410</v>
      </c>
      <c r="AR45" s="256">
        <f t="shared" si="37"/>
        <v>7.8333333333333328E-3</v>
      </c>
      <c r="BD45" s="323" t="s">
        <v>285</v>
      </c>
      <c r="BE45" s="295">
        <f>(1+$AF$18/12*8)*(1+$AF$19)-1</f>
        <v>9.0618666666666625E-2</v>
      </c>
      <c r="BF45" s="295">
        <f>(1+$AG$18/12*8)*(1+$AG$19)-1</f>
        <v>0.12615066666666674</v>
      </c>
      <c r="BG45" s="302"/>
      <c r="BH45" s="302"/>
      <c r="BI45" s="295">
        <f t="shared" ref="BI45:BI52" si="40">$AF$20</f>
        <v>8.8999999999999996E-2</v>
      </c>
      <c r="BJ45" s="295">
        <f t="shared" si="38"/>
        <v>0.158</v>
      </c>
    </row>
    <row r="46" spans="1:62" hidden="1" x14ac:dyDescent="0.2">
      <c r="A46" s="29">
        <v>2000</v>
      </c>
      <c r="B46" s="30">
        <v>0.3332</v>
      </c>
      <c r="D46" s="14">
        <v>42</v>
      </c>
      <c r="E46" s="12">
        <v>41316</v>
      </c>
      <c r="F46" s="15">
        <f t="shared" si="28"/>
        <v>8.6250000000000007E-3</v>
      </c>
      <c r="H46" s="14">
        <v>42</v>
      </c>
      <c r="I46" s="12">
        <v>41681</v>
      </c>
      <c r="J46" s="15">
        <f t="shared" si="29"/>
        <v>8.1249999999999985E-3</v>
      </c>
      <c r="K46" s="4"/>
      <c r="L46" s="14">
        <v>42</v>
      </c>
      <c r="M46" s="12">
        <v>42046</v>
      </c>
      <c r="N46" s="15">
        <f t="shared" si="31"/>
        <v>6.875E-3</v>
      </c>
      <c r="O46" s="141"/>
      <c r="P46" s="14">
        <v>42</v>
      </c>
      <c r="Q46" s="12">
        <v>41681</v>
      </c>
      <c r="R46" s="15">
        <f t="shared" si="30"/>
        <v>6.3750000000000005E-3</v>
      </c>
      <c r="S46" s="4"/>
      <c r="T46" s="14">
        <v>42</v>
      </c>
      <c r="U46" s="12">
        <v>42046</v>
      </c>
      <c r="V46" s="15">
        <f t="shared" si="32"/>
        <v>6.3750000000000005E-3</v>
      </c>
      <c r="W46" s="31">
        <v>2010</v>
      </c>
      <c r="X46" s="44"/>
      <c r="Y46" s="44">
        <f t="shared" si="39"/>
        <v>1.0820000000000001</v>
      </c>
      <c r="AA46" s="14">
        <v>42</v>
      </c>
      <c r="AB46" s="12">
        <v>40950</v>
      </c>
      <c r="AC46" s="15">
        <f t="shared" si="33"/>
        <v>9.1249999999999994E-3</v>
      </c>
      <c r="AI46" s="255">
        <v>42</v>
      </c>
      <c r="AJ46" s="253">
        <v>42046</v>
      </c>
      <c r="AK46" s="256">
        <f t="shared" si="34"/>
        <v>1.4833333333333334E-2</v>
      </c>
      <c r="AL46" s="253">
        <v>42411</v>
      </c>
      <c r="AM46" s="256">
        <f t="shared" si="35"/>
        <v>8.5000000000000006E-3</v>
      </c>
      <c r="AO46" s="253">
        <v>42046</v>
      </c>
      <c r="AP46" s="256">
        <f t="shared" si="36"/>
        <v>2.6333333333333334E-2</v>
      </c>
      <c r="AQ46" s="253">
        <v>42411</v>
      </c>
      <c r="AR46" s="256">
        <f t="shared" si="37"/>
        <v>7.8333333333333328E-3</v>
      </c>
      <c r="BD46" s="323" t="s">
        <v>203</v>
      </c>
      <c r="BE46" s="295">
        <f>(1+$AF$18/12*7)*(1+$AF$19)-1</f>
        <v>8.5291333333333386E-2</v>
      </c>
      <c r="BF46" s="295">
        <f>(1+$AG$18/12*7)*(1+$AG$19)-1</f>
        <v>0.12013183333333344</v>
      </c>
      <c r="BG46" s="302"/>
      <c r="BH46" s="302"/>
      <c r="BI46" s="295">
        <f t="shared" si="40"/>
        <v>8.8999999999999996E-2</v>
      </c>
      <c r="BJ46" s="295">
        <f t="shared" si="38"/>
        <v>0.158</v>
      </c>
    </row>
    <row r="47" spans="1:62" hidden="1" x14ac:dyDescent="0.2">
      <c r="A47" s="31">
        <v>2001</v>
      </c>
      <c r="B47" s="32">
        <v>0.27579999999999999</v>
      </c>
      <c r="D47" s="14">
        <v>43</v>
      </c>
      <c r="E47" s="12">
        <v>41317</v>
      </c>
      <c r="F47" s="15">
        <f t="shared" si="28"/>
        <v>8.6250000000000007E-3</v>
      </c>
      <c r="H47" s="14">
        <v>43</v>
      </c>
      <c r="I47" s="12">
        <v>41682</v>
      </c>
      <c r="J47" s="15">
        <f t="shared" si="29"/>
        <v>8.1249999999999985E-3</v>
      </c>
      <c r="K47" s="4"/>
      <c r="L47" s="14">
        <v>43</v>
      </c>
      <c r="M47" s="12">
        <v>42047</v>
      </c>
      <c r="N47" s="15">
        <f t="shared" si="31"/>
        <v>6.875E-3</v>
      </c>
      <c r="O47" s="141"/>
      <c r="P47" s="14">
        <v>43</v>
      </c>
      <c r="Q47" s="12">
        <v>41682</v>
      </c>
      <c r="R47" s="15">
        <f t="shared" si="30"/>
        <v>6.3750000000000005E-3</v>
      </c>
      <c r="S47" s="4"/>
      <c r="T47" s="14">
        <v>43</v>
      </c>
      <c r="U47" s="12">
        <v>42047</v>
      </c>
      <c r="V47" s="15">
        <f t="shared" si="32"/>
        <v>6.3750000000000005E-3</v>
      </c>
      <c r="W47" s="31">
        <v>2011</v>
      </c>
      <c r="X47" s="44"/>
      <c r="Y47" s="44">
        <f t="shared" si="39"/>
        <v>1.087</v>
      </c>
      <c r="AA47" s="14">
        <v>43</v>
      </c>
      <c r="AB47" s="12">
        <v>40951</v>
      </c>
      <c r="AC47" s="15">
        <f t="shared" si="33"/>
        <v>9.1249999999999994E-3</v>
      </c>
      <c r="AI47" s="255">
        <v>43</v>
      </c>
      <c r="AJ47" s="253">
        <v>42047</v>
      </c>
      <c r="AK47" s="256">
        <f t="shared" si="34"/>
        <v>1.4833333333333334E-2</v>
      </c>
      <c r="AL47" s="253">
        <v>42412</v>
      </c>
      <c r="AM47" s="256">
        <f t="shared" si="35"/>
        <v>8.5000000000000006E-3</v>
      </c>
      <c r="AO47" s="253">
        <v>42047</v>
      </c>
      <c r="AP47" s="256">
        <f t="shared" si="36"/>
        <v>2.6333333333333334E-2</v>
      </c>
      <c r="AQ47" s="253">
        <v>42412</v>
      </c>
      <c r="AR47" s="256">
        <f t="shared" si="37"/>
        <v>7.8333333333333328E-3</v>
      </c>
      <c r="BD47" s="323" t="s">
        <v>281</v>
      </c>
      <c r="BE47" s="295">
        <f>(1+$AF$18/12*6)*(1+$AF$19)-1</f>
        <v>7.9963999999999924E-2</v>
      </c>
      <c r="BF47" s="295">
        <f>(1+$AG$18/12*6)*(1+$AG$19)-1</f>
        <v>0.11411300000000013</v>
      </c>
      <c r="BG47" s="302"/>
      <c r="BH47" s="302"/>
      <c r="BI47" s="295">
        <f t="shared" si="40"/>
        <v>8.8999999999999996E-2</v>
      </c>
      <c r="BJ47" s="295">
        <f t="shared" si="38"/>
        <v>0.158</v>
      </c>
    </row>
    <row r="48" spans="1:62" hidden="1" x14ac:dyDescent="0.2">
      <c r="A48" s="31">
        <v>2002</v>
      </c>
      <c r="B48" s="32">
        <v>0.12640000000000001</v>
      </c>
      <c r="D48" s="14">
        <v>44</v>
      </c>
      <c r="E48" s="12">
        <v>41318</v>
      </c>
      <c r="F48" s="15">
        <f t="shared" si="28"/>
        <v>8.6250000000000007E-3</v>
      </c>
      <c r="H48" s="14">
        <v>44</v>
      </c>
      <c r="I48" s="12">
        <v>41683</v>
      </c>
      <c r="J48" s="15">
        <f t="shared" si="29"/>
        <v>8.1249999999999985E-3</v>
      </c>
      <c r="K48" s="4"/>
      <c r="L48" s="14">
        <v>44</v>
      </c>
      <c r="M48" s="12">
        <v>42048</v>
      </c>
      <c r="N48" s="15">
        <f t="shared" si="31"/>
        <v>6.875E-3</v>
      </c>
      <c r="O48" s="141"/>
      <c r="P48" s="14">
        <v>44</v>
      </c>
      <c r="Q48" s="12">
        <v>41683</v>
      </c>
      <c r="R48" s="15">
        <f t="shared" si="30"/>
        <v>6.3750000000000005E-3</v>
      </c>
      <c r="S48" s="4"/>
      <c r="T48" s="14">
        <v>44</v>
      </c>
      <c r="U48" s="12">
        <v>42048</v>
      </c>
      <c r="V48" s="15">
        <f t="shared" si="32"/>
        <v>6.3750000000000005E-3</v>
      </c>
      <c r="W48" s="31">
        <v>2012</v>
      </c>
      <c r="X48" s="44"/>
      <c r="Y48" s="44">
        <f t="shared" si="39"/>
        <v>1.077</v>
      </c>
      <c r="AA48" s="14">
        <v>44</v>
      </c>
      <c r="AB48" s="12">
        <v>40952</v>
      </c>
      <c r="AC48" s="15">
        <f t="shared" si="33"/>
        <v>9.1249999999999994E-3</v>
      </c>
      <c r="AI48" s="255">
        <v>44</v>
      </c>
      <c r="AJ48" s="253">
        <v>42048</v>
      </c>
      <c r="AK48" s="256">
        <f t="shared" si="34"/>
        <v>1.4833333333333334E-2</v>
      </c>
      <c r="AL48" s="253">
        <v>42413</v>
      </c>
      <c r="AM48" s="256">
        <f t="shared" si="35"/>
        <v>8.5000000000000006E-3</v>
      </c>
      <c r="AO48" s="253">
        <v>42048</v>
      </c>
      <c r="AP48" s="256">
        <f t="shared" si="36"/>
        <v>2.6333333333333334E-2</v>
      </c>
      <c r="AQ48" s="253">
        <v>42413</v>
      </c>
      <c r="AR48" s="256">
        <f t="shared" si="37"/>
        <v>7.8333333333333328E-3</v>
      </c>
      <c r="BB48" s="44"/>
      <c r="BD48" s="323" t="s">
        <v>286</v>
      </c>
      <c r="BE48" s="295">
        <f>(1+$AF$18/12*4)*(1+$AF$19)-1</f>
        <v>6.9309333333333445E-2</v>
      </c>
      <c r="BF48" s="295">
        <f>(1+$AG$18/12*4)*(1+$AG$19)-1</f>
        <v>0.1020753333333333</v>
      </c>
      <c r="BG48" s="302"/>
      <c r="BH48" s="302"/>
      <c r="BI48" s="295">
        <f t="shared" si="40"/>
        <v>8.8999999999999996E-2</v>
      </c>
      <c r="BJ48" s="295">
        <f t="shared" si="38"/>
        <v>0.158</v>
      </c>
    </row>
    <row r="49" spans="1:62" hidden="1" x14ac:dyDescent="0.2">
      <c r="A49" s="31">
        <v>2003</v>
      </c>
      <c r="B49" s="32">
        <v>0.14940000000000001</v>
      </c>
      <c r="D49" s="14">
        <v>45</v>
      </c>
      <c r="E49" s="12">
        <v>41319</v>
      </c>
      <c r="F49" s="15">
        <f t="shared" si="28"/>
        <v>8.6250000000000007E-3</v>
      </c>
      <c r="H49" s="14">
        <v>45</v>
      </c>
      <c r="I49" s="12">
        <v>41684</v>
      </c>
      <c r="J49" s="15">
        <f t="shared" si="29"/>
        <v>8.1249999999999985E-3</v>
      </c>
      <c r="K49" s="4"/>
      <c r="L49" s="14">
        <v>45</v>
      </c>
      <c r="M49" s="12">
        <v>42049</v>
      </c>
      <c r="N49" s="15">
        <f t="shared" si="31"/>
        <v>6.875E-3</v>
      </c>
      <c r="O49" s="141"/>
      <c r="P49" s="14">
        <v>45</v>
      </c>
      <c r="Q49" s="12">
        <v>41684</v>
      </c>
      <c r="R49" s="15">
        <f t="shared" si="30"/>
        <v>6.3750000000000005E-3</v>
      </c>
      <c r="S49" s="4"/>
      <c r="T49" s="14">
        <v>45</v>
      </c>
      <c r="U49" s="12">
        <v>42049</v>
      </c>
      <c r="V49" s="15">
        <f t="shared" si="32"/>
        <v>6.3750000000000005E-3</v>
      </c>
      <c r="W49" s="31">
        <v>2013</v>
      </c>
      <c r="X49" s="44"/>
      <c r="Y49" s="44">
        <f t="shared" si="39"/>
        <v>1.0720000000000001</v>
      </c>
      <c r="AA49" s="14">
        <v>45</v>
      </c>
      <c r="AB49" s="12">
        <v>40953</v>
      </c>
      <c r="AC49" s="15">
        <f t="shared" si="33"/>
        <v>9.1249999999999994E-3</v>
      </c>
      <c r="AI49" s="255">
        <v>45</v>
      </c>
      <c r="AJ49" s="253">
        <v>42049</v>
      </c>
      <c r="AK49" s="256">
        <f t="shared" si="34"/>
        <v>1.4833333333333334E-2</v>
      </c>
      <c r="AL49" s="253">
        <v>42414</v>
      </c>
      <c r="AM49" s="256">
        <f t="shared" si="35"/>
        <v>8.5000000000000006E-3</v>
      </c>
      <c r="AO49" s="253">
        <v>42049</v>
      </c>
      <c r="AP49" s="256">
        <f t="shared" si="36"/>
        <v>2.6333333333333334E-2</v>
      </c>
      <c r="AQ49" s="253">
        <v>42414</v>
      </c>
      <c r="AR49" s="256">
        <f t="shared" si="37"/>
        <v>7.8333333333333328E-3</v>
      </c>
      <c r="BD49" s="323" t="s">
        <v>287</v>
      </c>
      <c r="BE49" s="295">
        <f>(1+$AF$18/12*3)*(1+$AF$19)-1</f>
        <v>6.3981999999999983E-2</v>
      </c>
      <c r="BF49" s="295">
        <f>(1+$AG$18/12*3)*(1+$AG$19)-1</f>
        <v>9.6056500000000211E-2</v>
      </c>
      <c r="BG49" s="302"/>
      <c r="BH49" s="302"/>
      <c r="BI49" s="295">
        <f t="shared" si="40"/>
        <v>8.8999999999999996E-2</v>
      </c>
      <c r="BJ49" s="295">
        <f t="shared" si="38"/>
        <v>0.158</v>
      </c>
    </row>
    <row r="50" spans="1:62" hidden="1" x14ac:dyDescent="0.2">
      <c r="A50" s="31">
        <v>2004</v>
      </c>
      <c r="B50" s="32">
        <v>0.158</v>
      </c>
      <c r="D50" s="14">
        <v>46</v>
      </c>
      <c r="E50" s="12">
        <v>41320</v>
      </c>
      <c r="F50" s="15">
        <f t="shared" si="28"/>
        <v>8.6250000000000007E-3</v>
      </c>
      <c r="H50" s="14">
        <v>46</v>
      </c>
      <c r="I50" s="12">
        <v>41685</v>
      </c>
      <c r="J50" s="15">
        <f t="shared" si="29"/>
        <v>8.1249999999999985E-3</v>
      </c>
      <c r="K50" s="4"/>
      <c r="L50" s="14">
        <v>46</v>
      </c>
      <c r="M50" s="12">
        <v>42050</v>
      </c>
      <c r="N50" s="15">
        <f t="shared" si="31"/>
        <v>6.875E-3</v>
      </c>
      <c r="O50" s="141"/>
      <c r="P50" s="14">
        <v>46</v>
      </c>
      <c r="Q50" s="12">
        <v>41685</v>
      </c>
      <c r="R50" s="15">
        <f t="shared" si="30"/>
        <v>6.3750000000000005E-3</v>
      </c>
      <c r="S50" s="4"/>
      <c r="T50" s="14">
        <v>46</v>
      </c>
      <c r="U50" s="12">
        <v>42050</v>
      </c>
      <c r="V50" s="15">
        <f t="shared" si="32"/>
        <v>6.3750000000000005E-3</v>
      </c>
      <c r="W50" s="31">
        <v>2014</v>
      </c>
      <c r="X50" s="44"/>
      <c r="Y50" s="44">
        <f t="shared" si="39"/>
        <v>1.07</v>
      </c>
      <c r="AA50" s="14">
        <v>46</v>
      </c>
      <c r="AB50" s="12">
        <v>40954</v>
      </c>
      <c r="AC50" s="15">
        <f t="shared" si="33"/>
        <v>9.1249999999999994E-3</v>
      </c>
      <c r="AI50" s="255">
        <v>46</v>
      </c>
      <c r="AJ50" s="253">
        <v>42050</v>
      </c>
      <c r="AK50" s="256">
        <f t="shared" si="34"/>
        <v>1.4833333333333334E-2</v>
      </c>
      <c r="AL50" s="253">
        <v>42415</v>
      </c>
      <c r="AM50" s="256">
        <f t="shared" si="35"/>
        <v>8.5000000000000006E-3</v>
      </c>
      <c r="AO50" s="253">
        <v>42050</v>
      </c>
      <c r="AP50" s="256">
        <f t="shared" si="36"/>
        <v>2.6333333333333334E-2</v>
      </c>
      <c r="AQ50" s="253">
        <v>42415</v>
      </c>
      <c r="AR50" s="256">
        <f t="shared" si="37"/>
        <v>7.8333333333333328E-3</v>
      </c>
      <c r="BD50" s="323" t="s">
        <v>288</v>
      </c>
      <c r="BE50" s="295">
        <f>(1+$AF$18/12*2)*(1+$AF$19)-1</f>
        <v>5.8654666666666744E-2</v>
      </c>
      <c r="BF50" s="295">
        <f>(1+$AG$18/12*2)*(1+$AG$19)-1</f>
        <v>9.0037666666666905E-2</v>
      </c>
      <c r="BG50" s="302"/>
      <c r="BH50" s="302"/>
      <c r="BI50" s="295">
        <f t="shared" si="40"/>
        <v>8.8999999999999996E-2</v>
      </c>
      <c r="BJ50" s="295">
        <f t="shared" si="38"/>
        <v>0.158</v>
      </c>
    </row>
    <row r="51" spans="1:62" hidden="1" x14ac:dyDescent="0.2">
      <c r="A51" s="31">
        <v>2005</v>
      </c>
      <c r="B51" s="32">
        <v>0.13289999999999999</v>
      </c>
      <c r="D51" s="14">
        <v>47</v>
      </c>
      <c r="E51" s="12">
        <v>41321</v>
      </c>
      <c r="F51" s="15">
        <f t="shared" si="28"/>
        <v>8.6250000000000007E-3</v>
      </c>
      <c r="H51" s="14">
        <v>47</v>
      </c>
      <c r="I51" s="12">
        <v>41686</v>
      </c>
      <c r="J51" s="15">
        <f t="shared" si="29"/>
        <v>8.1249999999999985E-3</v>
      </c>
      <c r="K51" s="4"/>
      <c r="L51" s="14">
        <v>47</v>
      </c>
      <c r="M51" s="12">
        <v>42051</v>
      </c>
      <c r="N51" s="15">
        <f t="shared" si="31"/>
        <v>6.875E-3</v>
      </c>
      <c r="O51" s="141"/>
      <c r="P51" s="14">
        <v>47</v>
      </c>
      <c r="Q51" s="12">
        <v>41686</v>
      </c>
      <c r="R51" s="15">
        <f t="shared" si="30"/>
        <v>6.3750000000000005E-3</v>
      </c>
      <c r="S51" s="4"/>
      <c r="T51" s="14">
        <v>47</v>
      </c>
      <c r="U51" s="12">
        <v>42051</v>
      </c>
      <c r="V51" s="15">
        <f t="shared" si="32"/>
        <v>6.3750000000000005E-3</v>
      </c>
      <c r="W51" s="31">
        <v>2015</v>
      </c>
      <c r="X51" s="44"/>
      <c r="Y51" s="44">
        <f t="shared" si="39"/>
        <v>1.0649999999999999</v>
      </c>
      <c r="AA51" s="14">
        <v>47</v>
      </c>
      <c r="AB51" s="12">
        <v>40955</v>
      </c>
      <c r="AC51" s="15">
        <f t="shared" si="33"/>
        <v>9.1249999999999994E-3</v>
      </c>
      <c r="AI51" s="255">
        <v>47</v>
      </c>
      <c r="AJ51" s="253">
        <v>42051</v>
      </c>
      <c r="AK51" s="256">
        <f t="shared" si="34"/>
        <v>1.4833333333333334E-2</v>
      </c>
      <c r="AL51" s="253">
        <v>42416</v>
      </c>
      <c r="AM51" s="256">
        <f t="shared" si="35"/>
        <v>8.5000000000000006E-3</v>
      </c>
      <c r="AO51" s="253">
        <v>42051</v>
      </c>
      <c r="AP51" s="256">
        <f t="shared" si="36"/>
        <v>2.6333333333333334E-2</v>
      </c>
      <c r="AQ51" s="253">
        <v>42416</v>
      </c>
      <c r="AR51" s="256">
        <f t="shared" si="37"/>
        <v>7.8333333333333328E-3</v>
      </c>
      <c r="BD51" s="323" t="s">
        <v>289</v>
      </c>
      <c r="BE51" s="295">
        <f>(1+$AF$18/12*1)*(1+$AF$19)-1</f>
        <v>5.3327333333333282E-2</v>
      </c>
      <c r="BF51" s="295">
        <f>(1+$AG$18/12*1)*(1+$AG$19)-1</f>
        <v>8.4018833333333376E-2</v>
      </c>
      <c r="BG51" s="302"/>
      <c r="BH51" s="302"/>
      <c r="BI51" s="295">
        <f t="shared" si="40"/>
        <v>8.8999999999999996E-2</v>
      </c>
      <c r="BJ51" s="295">
        <f t="shared" si="38"/>
        <v>0.158</v>
      </c>
    </row>
    <row r="52" spans="1:62" hidden="1" x14ac:dyDescent="0.2">
      <c r="A52" s="31">
        <v>2006</v>
      </c>
      <c r="B52" s="32">
        <v>0.111</v>
      </c>
      <c r="D52" s="14">
        <v>48</v>
      </c>
      <c r="E52" s="12">
        <v>41322</v>
      </c>
      <c r="F52" s="15">
        <f t="shared" si="28"/>
        <v>8.6250000000000007E-3</v>
      </c>
      <c r="H52" s="14">
        <v>48</v>
      </c>
      <c r="I52" s="12">
        <v>41687</v>
      </c>
      <c r="J52" s="15">
        <f t="shared" si="29"/>
        <v>8.1249999999999985E-3</v>
      </c>
      <c r="K52" s="4"/>
      <c r="L52" s="14">
        <v>48</v>
      </c>
      <c r="M52" s="12">
        <v>42052</v>
      </c>
      <c r="N52" s="15">
        <f t="shared" si="31"/>
        <v>6.875E-3</v>
      </c>
      <c r="O52" s="141"/>
      <c r="P52" s="14">
        <v>48</v>
      </c>
      <c r="Q52" s="12">
        <v>41687</v>
      </c>
      <c r="R52" s="15">
        <f t="shared" si="30"/>
        <v>6.3750000000000005E-3</v>
      </c>
      <c r="S52" s="4"/>
      <c r="T52" s="14">
        <v>48</v>
      </c>
      <c r="U52" s="12">
        <v>42052</v>
      </c>
      <c r="V52" s="15">
        <f t="shared" si="32"/>
        <v>6.3750000000000005E-3</v>
      </c>
      <c r="Y52" s="144">
        <f>Y44*Y45*Y46*Y47*Y48*Y49</f>
        <v>1.7330111110162558</v>
      </c>
      <c r="AA52" s="14">
        <v>48</v>
      </c>
      <c r="AB52" s="12">
        <v>40956</v>
      </c>
      <c r="AC52" s="15">
        <f t="shared" si="33"/>
        <v>9.1249999999999994E-3</v>
      </c>
      <c r="AI52" s="255">
        <v>48</v>
      </c>
      <c r="AJ52" s="253">
        <v>42052</v>
      </c>
      <c r="AK52" s="256">
        <f t="shared" si="34"/>
        <v>1.4833333333333334E-2</v>
      </c>
      <c r="AL52" s="253">
        <v>42417</v>
      </c>
      <c r="AM52" s="256">
        <f t="shared" si="35"/>
        <v>8.5000000000000006E-3</v>
      </c>
      <c r="AO52" s="253">
        <v>42052</v>
      </c>
      <c r="AP52" s="256">
        <f t="shared" si="36"/>
        <v>2.6333333333333334E-2</v>
      </c>
      <c r="AQ52" s="253">
        <v>42417</v>
      </c>
      <c r="AR52" s="256">
        <f t="shared" si="37"/>
        <v>7.8333333333333328E-3</v>
      </c>
      <c r="BD52" s="323" t="s">
        <v>202</v>
      </c>
      <c r="BE52" s="295">
        <f>(1+$AF$18/12*5)*(1+$AF$19)-1</f>
        <v>7.4636666666666684E-2</v>
      </c>
      <c r="BF52" s="295">
        <f>(1+$AG$18/12*5)*(1+$AG$19)-1</f>
        <v>0.1080941666666666</v>
      </c>
      <c r="BG52" s="302"/>
      <c r="BH52" s="302"/>
      <c r="BI52" s="295">
        <f t="shared" si="40"/>
        <v>8.8999999999999996E-2</v>
      </c>
      <c r="BJ52" s="295">
        <f t="shared" si="38"/>
        <v>0.158</v>
      </c>
    </row>
    <row r="53" spans="1:62" hidden="1" x14ac:dyDescent="0.2">
      <c r="A53" s="31">
        <v>2007</v>
      </c>
      <c r="B53" s="32">
        <v>0.11600000000000001</v>
      </c>
      <c r="D53" s="14">
        <v>49</v>
      </c>
      <c r="E53" s="12">
        <v>41323</v>
      </c>
      <c r="F53" s="15">
        <f t="shared" si="28"/>
        <v>8.6250000000000007E-3</v>
      </c>
      <c r="H53" s="14">
        <v>49</v>
      </c>
      <c r="I53" s="12">
        <v>41688</v>
      </c>
      <c r="J53" s="15">
        <f t="shared" si="29"/>
        <v>8.1249999999999985E-3</v>
      </c>
      <c r="K53" s="4"/>
      <c r="L53" s="14">
        <v>49</v>
      </c>
      <c r="M53" s="12">
        <v>42053</v>
      </c>
      <c r="N53" s="15">
        <f t="shared" si="31"/>
        <v>6.875E-3</v>
      </c>
      <c r="O53" s="141"/>
      <c r="P53" s="14">
        <v>49</v>
      </c>
      <c r="Q53" s="12">
        <v>41688</v>
      </c>
      <c r="R53" s="15">
        <f t="shared" si="30"/>
        <v>6.3750000000000005E-3</v>
      </c>
      <c r="S53" s="4"/>
      <c r="T53" s="14">
        <v>49</v>
      </c>
      <c r="U53" s="12">
        <v>42053</v>
      </c>
      <c r="V53" s="15">
        <f t="shared" si="32"/>
        <v>6.3750000000000005E-3</v>
      </c>
      <c r="Y53" s="144">
        <f>Y45*Y46*Y47*Y48*Y49*Y50*Y44</f>
        <v>1.8543218887873933</v>
      </c>
      <c r="AA53" s="14">
        <v>49</v>
      </c>
      <c r="AB53" s="12">
        <v>40957</v>
      </c>
      <c r="AC53" s="15">
        <f t="shared" si="33"/>
        <v>9.1249999999999994E-3</v>
      </c>
      <c r="AI53" s="255">
        <v>49</v>
      </c>
      <c r="AJ53" s="253">
        <v>42053</v>
      </c>
      <c r="AK53" s="256">
        <f t="shared" si="34"/>
        <v>1.4833333333333334E-2</v>
      </c>
      <c r="AL53" s="253">
        <v>42418</v>
      </c>
      <c r="AM53" s="256">
        <f t="shared" si="35"/>
        <v>8.5000000000000006E-3</v>
      </c>
      <c r="AO53" s="253">
        <v>42053</v>
      </c>
      <c r="AP53" s="256">
        <f t="shared" si="36"/>
        <v>2.6333333333333334E-2</v>
      </c>
      <c r="AQ53" s="253">
        <v>42418</v>
      </c>
      <c r="AR53" s="256">
        <f t="shared" si="37"/>
        <v>7.8333333333333328E-3</v>
      </c>
      <c r="BD53" s="324" t="s">
        <v>297</v>
      </c>
      <c r="BE53" s="298">
        <f>(1+$AF$18)*(1+$AF$17/12*5)*(1+$AF$19)-1</f>
        <v>0.14343262666666656</v>
      </c>
      <c r="BF53" s="298">
        <f>(1+$AG$18)*(1+$AG$17/12*5)*(1+$AG$19)-1</f>
        <v>0.17466830249999998</v>
      </c>
      <c r="BG53" s="303"/>
      <c r="BH53" s="303"/>
      <c r="BI53" s="298">
        <f t="shared" si="17"/>
        <v>8.8999999999999996E-2</v>
      </c>
      <c r="BJ53" s="298">
        <f t="shared" si="18"/>
        <v>0.158</v>
      </c>
    </row>
    <row r="54" spans="1:62" hidden="1" x14ac:dyDescent="0.2">
      <c r="A54" s="31">
        <v>2008</v>
      </c>
      <c r="B54" s="32">
        <v>0.185</v>
      </c>
      <c r="D54" s="14">
        <v>50</v>
      </c>
      <c r="E54" s="12">
        <v>41324</v>
      </c>
      <c r="F54" s="15">
        <f t="shared" si="28"/>
        <v>8.6250000000000007E-3</v>
      </c>
      <c r="H54" s="14">
        <v>50</v>
      </c>
      <c r="I54" s="12">
        <v>41689</v>
      </c>
      <c r="J54" s="15">
        <f t="shared" si="29"/>
        <v>8.1249999999999985E-3</v>
      </c>
      <c r="K54" s="4"/>
      <c r="L54" s="14">
        <v>50</v>
      </c>
      <c r="M54" s="12">
        <v>42054</v>
      </c>
      <c r="N54" s="15">
        <f t="shared" si="31"/>
        <v>6.875E-3</v>
      </c>
      <c r="O54" s="141"/>
      <c r="P54" s="14">
        <v>50</v>
      </c>
      <c r="Q54" s="12">
        <v>41689</v>
      </c>
      <c r="R54" s="15">
        <f t="shared" si="30"/>
        <v>6.3750000000000005E-3</v>
      </c>
      <c r="S54" s="4"/>
      <c r="T54" s="14">
        <v>50</v>
      </c>
      <c r="U54" s="12">
        <v>42054</v>
      </c>
      <c r="V54" s="15">
        <f t="shared" si="32"/>
        <v>6.3750000000000005E-3</v>
      </c>
      <c r="Y54" s="144">
        <f>Y46*Y47*Y48*Y49*Y50*Y51*Y45*Y44</f>
        <v>1.974852811558574</v>
      </c>
      <c r="AA54" s="14">
        <v>50</v>
      </c>
      <c r="AB54" s="12">
        <v>40958</v>
      </c>
      <c r="AC54" s="15">
        <f t="shared" si="33"/>
        <v>9.1249999999999994E-3</v>
      </c>
      <c r="AI54" s="255">
        <v>50</v>
      </c>
      <c r="AJ54" s="253">
        <v>42054</v>
      </c>
      <c r="AK54" s="256">
        <f t="shared" si="34"/>
        <v>1.4833333333333334E-2</v>
      </c>
      <c r="AL54" s="253">
        <v>42419</v>
      </c>
      <c r="AM54" s="256">
        <f t="shared" si="35"/>
        <v>8.5000000000000006E-3</v>
      </c>
      <c r="AO54" s="253">
        <v>42054</v>
      </c>
      <c r="AP54" s="256">
        <f t="shared" si="36"/>
        <v>2.6333333333333334E-2</v>
      </c>
      <c r="AQ54" s="253">
        <v>42419</v>
      </c>
      <c r="AR54" s="256">
        <f t="shared" si="37"/>
        <v>7.8333333333333328E-3</v>
      </c>
    </row>
    <row r="55" spans="1:62" hidden="1" x14ac:dyDescent="0.2">
      <c r="A55" s="31">
        <v>2009</v>
      </c>
      <c r="B55" s="32">
        <v>7.6999999999999999E-2</v>
      </c>
      <c r="D55" s="14">
        <v>51</v>
      </c>
      <c r="E55" s="12">
        <v>41325</v>
      </c>
      <c r="F55" s="15">
        <f t="shared" si="28"/>
        <v>8.6250000000000007E-3</v>
      </c>
      <c r="H55" s="14">
        <v>51</v>
      </c>
      <c r="I55" s="12">
        <v>41690</v>
      </c>
      <c r="J55" s="15">
        <f t="shared" si="29"/>
        <v>8.1249999999999985E-3</v>
      </c>
      <c r="K55" s="4"/>
      <c r="L55" s="14">
        <v>51</v>
      </c>
      <c r="M55" s="12">
        <v>42055</v>
      </c>
      <c r="N55" s="15">
        <f t="shared" si="31"/>
        <v>6.875E-3</v>
      </c>
      <c r="O55" s="141"/>
      <c r="P55" s="14">
        <v>51</v>
      </c>
      <c r="Q55" s="12">
        <v>41690</v>
      </c>
      <c r="R55" s="15">
        <f t="shared" si="30"/>
        <v>6.3750000000000005E-3</v>
      </c>
      <c r="S55" s="4"/>
      <c r="T55" s="14">
        <v>51</v>
      </c>
      <c r="U55" s="12">
        <v>42055</v>
      </c>
      <c r="V55" s="15">
        <f t="shared" si="32"/>
        <v>6.3750000000000005E-3</v>
      </c>
      <c r="AA55" s="14">
        <v>51</v>
      </c>
      <c r="AB55" s="12">
        <v>40959</v>
      </c>
      <c r="AC55" s="15">
        <f t="shared" si="33"/>
        <v>9.1249999999999994E-3</v>
      </c>
      <c r="AI55" s="255">
        <v>51</v>
      </c>
      <c r="AJ55" s="253">
        <v>42055</v>
      </c>
      <c r="AK55" s="256">
        <f t="shared" si="34"/>
        <v>1.4833333333333334E-2</v>
      </c>
      <c r="AL55" s="253">
        <v>42420</v>
      </c>
      <c r="AM55" s="256">
        <f t="shared" si="35"/>
        <v>8.5000000000000006E-3</v>
      </c>
      <c r="AO55" s="253">
        <v>42055</v>
      </c>
      <c r="AP55" s="256">
        <f t="shared" si="36"/>
        <v>2.6333333333333334E-2</v>
      </c>
      <c r="AQ55" s="253">
        <v>42420</v>
      </c>
      <c r="AR55" s="256">
        <f t="shared" si="37"/>
        <v>7.8333333333333328E-3</v>
      </c>
    </row>
    <row r="56" spans="1:62" hidden="1" x14ac:dyDescent="0.2">
      <c r="A56" s="31">
        <v>2010</v>
      </c>
      <c r="B56" s="32">
        <v>8.2000000000000003E-2</v>
      </c>
      <c r="D56" s="14">
        <v>52</v>
      </c>
      <c r="E56" s="12">
        <v>41326</v>
      </c>
      <c r="F56" s="50">
        <f t="shared" si="28"/>
        <v>1.1500000000000002E-2</v>
      </c>
      <c r="H56" s="14">
        <v>52</v>
      </c>
      <c r="I56" s="12">
        <v>41691</v>
      </c>
      <c r="J56" s="50">
        <f t="shared" si="29"/>
        <v>1.0833333333333332E-2</v>
      </c>
      <c r="K56" s="4"/>
      <c r="L56" s="14">
        <v>52</v>
      </c>
      <c r="M56" s="12">
        <v>42056</v>
      </c>
      <c r="N56" s="50">
        <f>N25+N$4/L$4/100</f>
        <v>9.1666666666666667E-3</v>
      </c>
      <c r="O56" s="141"/>
      <c r="P56" s="14">
        <v>52</v>
      </c>
      <c r="Q56" s="12">
        <v>41691</v>
      </c>
      <c r="R56" s="50">
        <f t="shared" si="30"/>
        <v>8.5000000000000006E-3</v>
      </c>
      <c r="S56" s="4"/>
      <c r="T56" s="14">
        <v>52</v>
      </c>
      <c r="U56" s="12">
        <v>42056</v>
      </c>
      <c r="V56" s="50">
        <f>V25+V$4/T$4/100</f>
        <v>8.5000000000000006E-3</v>
      </c>
      <c r="AA56" s="51">
        <v>52</v>
      </c>
      <c r="AB56" s="49">
        <v>40960</v>
      </c>
      <c r="AC56" s="50">
        <f>AC25+AC$4/AA$4/100</f>
        <v>1.2166666666666666E-2</v>
      </c>
      <c r="AI56" s="255">
        <v>52</v>
      </c>
      <c r="AJ56" s="253">
        <v>42056</v>
      </c>
      <c r="AK56" s="256">
        <f t="shared" si="34"/>
        <v>1.4833333333333334E-2</v>
      </c>
      <c r="AL56" s="253">
        <v>42421</v>
      </c>
      <c r="AM56" s="256">
        <f t="shared" si="35"/>
        <v>8.5000000000000006E-3</v>
      </c>
      <c r="AO56" s="253">
        <v>42056</v>
      </c>
      <c r="AP56" s="256">
        <f t="shared" si="36"/>
        <v>2.6333333333333334E-2</v>
      </c>
      <c r="AQ56" s="253">
        <v>42421</v>
      </c>
      <c r="AR56" s="256">
        <f t="shared" si="37"/>
        <v>7.8333333333333328E-3</v>
      </c>
    </row>
    <row r="57" spans="1:62" hidden="1" x14ac:dyDescent="0.2">
      <c r="A57" s="31">
        <v>2011</v>
      </c>
      <c r="B57" s="32">
        <v>8.6999999999999994E-2</v>
      </c>
      <c r="D57" s="14">
        <v>53</v>
      </c>
      <c r="E57" s="12">
        <v>41327</v>
      </c>
      <c r="F57" s="15">
        <f t="shared" si="28"/>
        <v>1.1500000000000002E-2</v>
      </c>
      <c r="H57" s="14">
        <v>53</v>
      </c>
      <c r="I57" s="12">
        <v>41692</v>
      </c>
      <c r="J57" s="15">
        <f t="shared" si="29"/>
        <v>1.0833333333333332E-2</v>
      </c>
      <c r="K57" s="4"/>
      <c r="L57" s="14">
        <v>53</v>
      </c>
      <c r="M57" s="12">
        <v>42057</v>
      </c>
      <c r="N57" s="15">
        <f t="shared" ref="N57:N63" si="41">N26+N$4/L$4/100</f>
        <v>9.1666666666666667E-3</v>
      </c>
      <c r="O57" s="141"/>
      <c r="P57" s="14">
        <v>53</v>
      </c>
      <c r="Q57" s="12">
        <v>41692</v>
      </c>
      <c r="R57" s="15">
        <f t="shared" si="30"/>
        <v>8.5000000000000006E-3</v>
      </c>
      <c r="S57" s="4"/>
      <c r="T57" s="14">
        <v>53</v>
      </c>
      <c r="U57" s="12">
        <v>42057</v>
      </c>
      <c r="V57" s="15">
        <f t="shared" ref="V57:V63" si="42">V26+V$4/T$4/100</f>
        <v>8.5000000000000006E-3</v>
      </c>
      <c r="AA57" s="14">
        <v>53</v>
      </c>
      <c r="AB57" s="12">
        <v>40961</v>
      </c>
      <c r="AC57" s="15">
        <f t="shared" ref="AC57:AC64" si="43">AC26+AC$4/AA$4/100</f>
        <v>1.2166666666666666E-2</v>
      </c>
      <c r="AI57" s="255">
        <v>53</v>
      </c>
      <c r="AJ57" s="253">
        <v>42057</v>
      </c>
      <c r="AK57" s="256">
        <f t="shared" si="34"/>
        <v>1.4833333333333334E-2</v>
      </c>
      <c r="AL57" s="253">
        <v>42422</v>
      </c>
      <c r="AM57" s="256">
        <f t="shared" si="35"/>
        <v>8.5000000000000006E-3</v>
      </c>
      <c r="AO57" s="253">
        <v>42057</v>
      </c>
      <c r="AP57" s="256">
        <f t="shared" si="36"/>
        <v>2.6333333333333334E-2</v>
      </c>
      <c r="AQ57" s="253">
        <v>42422</v>
      </c>
      <c r="AR57" s="256">
        <f t="shared" si="37"/>
        <v>7.8333333333333328E-3</v>
      </c>
    </row>
    <row r="58" spans="1:62" hidden="1" x14ac:dyDescent="0.2">
      <c r="A58" s="31">
        <v>2012</v>
      </c>
      <c r="B58" s="32">
        <v>7.6999999999999999E-2</v>
      </c>
      <c r="C58" s="4" t="s">
        <v>188</v>
      </c>
      <c r="D58" s="14">
        <v>54</v>
      </c>
      <c r="E58" s="12">
        <v>41328</v>
      </c>
      <c r="F58" s="15">
        <f t="shared" si="28"/>
        <v>1.1500000000000002E-2</v>
      </c>
      <c r="H58" s="14">
        <v>54</v>
      </c>
      <c r="I58" s="12">
        <v>41693</v>
      </c>
      <c r="J58" s="15">
        <f t="shared" si="29"/>
        <v>1.0833333333333332E-2</v>
      </c>
      <c r="K58" s="4"/>
      <c r="L58" s="14">
        <v>54</v>
      </c>
      <c r="M58" s="12">
        <v>42058</v>
      </c>
      <c r="N58" s="15">
        <f t="shared" si="41"/>
        <v>9.1666666666666667E-3</v>
      </c>
      <c r="O58" s="141"/>
      <c r="P58" s="14">
        <v>54</v>
      </c>
      <c r="Q58" s="12">
        <v>41693</v>
      </c>
      <c r="R58" s="15">
        <f t="shared" si="30"/>
        <v>8.5000000000000006E-3</v>
      </c>
      <c r="S58" s="4"/>
      <c r="T58" s="14">
        <v>54</v>
      </c>
      <c r="U58" s="12">
        <v>42058</v>
      </c>
      <c r="V58" s="15">
        <f t="shared" si="42"/>
        <v>8.5000000000000006E-3</v>
      </c>
      <c r="AA58" s="14">
        <v>54</v>
      </c>
      <c r="AB58" s="12">
        <v>40962</v>
      </c>
      <c r="AC58" s="15">
        <f t="shared" si="43"/>
        <v>1.2166666666666666E-2</v>
      </c>
      <c r="AI58" s="255">
        <v>54</v>
      </c>
      <c r="AJ58" s="253">
        <v>42058</v>
      </c>
      <c r="AK58" s="256">
        <f t="shared" si="34"/>
        <v>1.4833333333333334E-2</v>
      </c>
      <c r="AL58" s="253">
        <v>42423</v>
      </c>
      <c r="AM58" s="256">
        <f t="shared" si="35"/>
        <v>8.5000000000000006E-3</v>
      </c>
      <c r="AO58" s="253">
        <v>42058</v>
      </c>
      <c r="AP58" s="256">
        <f t="shared" si="36"/>
        <v>2.6333333333333334E-2</v>
      </c>
      <c r="AQ58" s="253">
        <v>42423</v>
      </c>
      <c r="AR58" s="256">
        <f t="shared" si="37"/>
        <v>7.8333333333333328E-3</v>
      </c>
    </row>
    <row r="59" spans="1:62" hidden="1" x14ac:dyDescent="0.2">
      <c r="A59" s="31">
        <v>2013</v>
      </c>
      <c r="B59" s="32">
        <v>7.1999999999999995E-2</v>
      </c>
      <c r="C59" s="4" t="s">
        <v>189</v>
      </c>
      <c r="D59" s="14">
        <v>55</v>
      </c>
      <c r="E59" s="12">
        <v>41329</v>
      </c>
      <c r="F59" s="15">
        <f t="shared" si="28"/>
        <v>1.1500000000000002E-2</v>
      </c>
      <c r="H59" s="14">
        <v>55</v>
      </c>
      <c r="I59" s="12">
        <v>41694</v>
      </c>
      <c r="J59" s="15">
        <f t="shared" si="29"/>
        <v>1.0833333333333332E-2</v>
      </c>
      <c r="K59" s="4"/>
      <c r="L59" s="14">
        <v>55</v>
      </c>
      <c r="M59" s="12">
        <v>42059</v>
      </c>
      <c r="N59" s="15">
        <f t="shared" si="41"/>
        <v>9.1666666666666667E-3</v>
      </c>
      <c r="O59" s="141"/>
      <c r="P59" s="14">
        <v>55</v>
      </c>
      <c r="Q59" s="12">
        <v>41694</v>
      </c>
      <c r="R59" s="15">
        <f t="shared" si="30"/>
        <v>8.5000000000000006E-3</v>
      </c>
      <c r="S59" s="4"/>
      <c r="T59" s="14">
        <v>55</v>
      </c>
      <c r="U59" s="12">
        <v>42059</v>
      </c>
      <c r="V59" s="15">
        <f t="shared" si="42"/>
        <v>8.5000000000000006E-3</v>
      </c>
      <c r="AA59" s="14">
        <v>55</v>
      </c>
      <c r="AB59" s="12">
        <v>40963</v>
      </c>
      <c r="AC59" s="15">
        <f t="shared" si="43"/>
        <v>1.2166666666666666E-2</v>
      </c>
      <c r="AI59" s="255">
        <v>55</v>
      </c>
      <c r="AJ59" s="253">
        <v>42059</v>
      </c>
      <c r="AK59" s="256">
        <f t="shared" si="34"/>
        <v>1.4833333333333334E-2</v>
      </c>
      <c r="AL59" s="253">
        <v>42424</v>
      </c>
      <c r="AM59" s="256">
        <f t="shared" si="35"/>
        <v>8.5000000000000006E-3</v>
      </c>
      <c r="AO59" s="253">
        <v>42059</v>
      </c>
      <c r="AP59" s="256">
        <f t="shared" si="36"/>
        <v>2.6333333333333334E-2</v>
      </c>
      <c r="AQ59" s="253">
        <v>42424</v>
      </c>
      <c r="AR59" s="256">
        <f t="shared" si="37"/>
        <v>7.8333333333333328E-3</v>
      </c>
    </row>
    <row r="60" spans="1:62" hidden="1" x14ac:dyDescent="0.2">
      <c r="A60" s="31">
        <v>2014</v>
      </c>
      <c r="B60" s="32">
        <v>7.0000000000000007E-2</v>
      </c>
      <c r="C60" s="4" t="s">
        <v>189</v>
      </c>
      <c r="D60" s="14">
        <v>56</v>
      </c>
      <c r="E60" s="12">
        <v>41330</v>
      </c>
      <c r="F60" s="15">
        <f t="shared" si="28"/>
        <v>1.1500000000000002E-2</v>
      </c>
      <c r="H60" s="14">
        <v>56</v>
      </c>
      <c r="I60" s="12">
        <v>41695</v>
      </c>
      <c r="J60" s="15">
        <f t="shared" si="29"/>
        <v>1.0833333333333332E-2</v>
      </c>
      <c r="K60" s="4"/>
      <c r="L60" s="14">
        <v>56</v>
      </c>
      <c r="M60" s="12">
        <v>42060</v>
      </c>
      <c r="N60" s="15">
        <f t="shared" si="41"/>
        <v>9.1666666666666667E-3</v>
      </c>
      <c r="O60" s="141"/>
      <c r="P60" s="14">
        <v>56</v>
      </c>
      <c r="Q60" s="12">
        <v>41695</v>
      </c>
      <c r="R60" s="15">
        <f t="shared" si="30"/>
        <v>8.5000000000000006E-3</v>
      </c>
      <c r="S60" s="4"/>
      <c r="T60" s="14">
        <v>56</v>
      </c>
      <c r="U60" s="12">
        <v>42060</v>
      </c>
      <c r="V60" s="15">
        <f t="shared" si="42"/>
        <v>8.5000000000000006E-3</v>
      </c>
      <c r="AA60" s="14">
        <v>56</v>
      </c>
      <c r="AB60" s="12">
        <v>40964</v>
      </c>
      <c r="AC60" s="15">
        <f t="shared" si="43"/>
        <v>1.2166666666666666E-2</v>
      </c>
      <c r="AI60" s="255">
        <v>56</v>
      </c>
      <c r="AJ60" s="253">
        <v>42060</v>
      </c>
      <c r="AK60" s="256">
        <f t="shared" si="34"/>
        <v>1.4833333333333334E-2</v>
      </c>
      <c r="AL60" s="253">
        <v>42425</v>
      </c>
      <c r="AM60" s="256">
        <f t="shared" si="35"/>
        <v>8.5000000000000006E-3</v>
      </c>
      <c r="AO60" s="253">
        <v>42060</v>
      </c>
      <c r="AP60" s="256">
        <f t="shared" si="36"/>
        <v>2.6333333333333334E-2</v>
      </c>
      <c r="AQ60" s="253">
        <v>42425</v>
      </c>
      <c r="AR60" s="256">
        <f t="shared" si="37"/>
        <v>7.8333333333333328E-3</v>
      </c>
    </row>
    <row r="61" spans="1:62" hidden="1" x14ac:dyDescent="0.2">
      <c r="A61" s="31">
        <v>2015</v>
      </c>
      <c r="B61" s="32">
        <v>6.5000000000000002E-2</v>
      </c>
      <c r="C61" s="4" t="s">
        <v>189</v>
      </c>
      <c r="D61" s="14">
        <v>57</v>
      </c>
      <c r="E61" s="12">
        <v>41331</v>
      </c>
      <c r="F61" s="15">
        <f t="shared" si="28"/>
        <v>1.1500000000000002E-2</v>
      </c>
      <c r="H61" s="14">
        <v>57</v>
      </c>
      <c r="I61" s="12">
        <v>41696</v>
      </c>
      <c r="J61" s="15">
        <f t="shared" si="29"/>
        <v>1.0833333333333332E-2</v>
      </c>
      <c r="K61" s="4"/>
      <c r="L61" s="14">
        <v>57</v>
      </c>
      <c r="M61" s="12">
        <v>42061</v>
      </c>
      <c r="N61" s="15">
        <f t="shared" si="41"/>
        <v>9.1666666666666667E-3</v>
      </c>
      <c r="O61" s="141"/>
      <c r="P61" s="14">
        <v>57</v>
      </c>
      <c r="Q61" s="12">
        <v>41696</v>
      </c>
      <c r="R61" s="15">
        <f t="shared" si="30"/>
        <v>8.5000000000000006E-3</v>
      </c>
      <c r="S61" s="4"/>
      <c r="T61" s="14">
        <v>57</v>
      </c>
      <c r="U61" s="12">
        <v>42061</v>
      </c>
      <c r="V61" s="15">
        <f t="shared" si="42"/>
        <v>8.5000000000000006E-3</v>
      </c>
      <c r="AA61" s="14">
        <v>57</v>
      </c>
      <c r="AB61" s="12">
        <v>40965</v>
      </c>
      <c r="AC61" s="15">
        <f t="shared" si="43"/>
        <v>1.2166666666666666E-2</v>
      </c>
      <c r="AI61" s="255">
        <v>57</v>
      </c>
      <c r="AJ61" s="253">
        <v>42061</v>
      </c>
      <c r="AK61" s="256">
        <f t="shared" si="34"/>
        <v>1.4833333333333334E-2</v>
      </c>
      <c r="AL61" s="253">
        <v>42426</v>
      </c>
      <c r="AM61" s="256">
        <f t="shared" si="35"/>
        <v>8.5000000000000006E-3</v>
      </c>
      <c r="AO61" s="253">
        <v>42061</v>
      </c>
      <c r="AP61" s="256">
        <f t="shared" si="36"/>
        <v>2.6333333333333334E-2</v>
      </c>
      <c r="AQ61" s="253">
        <v>42426</v>
      </c>
      <c r="AR61" s="256">
        <f t="shared" si="37"/>
        <v>7.8333333333333328E-3</v>
      </c>
    </row>
    <row r="62" spans="1:62" hidden="1" x14ac:dyDescent="0.2">
      <c r="D62" s="14">
        <v>58</v>
      </c>
      <c r="E62" s="12">
        <v>41332</v>
      </c>
      <c r="F62" s="15">
        <f t="shared" si="28"/>
        <v>1.1500000000000002E-2</v>
      </c>
      <c r="H62" s="14">
        <v>58</v>
      </c>
      <c r="I62" s="12">
        <v>41697</v>
      </c>
      <c r="J62" s="15">
        <f t="shared" si="29"/>
        <v>1.0833333333333332E-2</v>
      </c>
      <c r="K62" s="4"/>
      <c r="L62" s="14">
        <v>58</v>
      </c>
      <c r="M62" s="12">
        <v>42062</v>
      </c>
      <c r="N62" s="15">
        <f t="shared" si="41"/>
        <v>9.1666666666666667E-3</v>
      </c>
      <c r="O62" s="141"/>
      <c r="P62" s="14">
        <v>58</v>
      </c>
      <c r="Q62" s="12">
        <v>41697</v>
      </c>
      <c r="R62" s="15">
        <f t="shared" si="30"/>
        <v>8.5000000000000006E-3</v>
      </c>
      <c r="S62" s="4"/>
      <c r="T62" s="14">
        <v>58</v>
      </c>
      <c r="U62" s="12">
        <v>42062</v>
      </c>
      <c r="V62" s="15">
        <f t="shared" si="42"/>
        <v>8.5000000000000006E-3</v>
      </c>
      <c r="AA62" s="14">
        <v>58</v>
      </c>
      <c r="AB62" s="12">
        <v>40966</v>
      </c>
      <c r="AC62" s="15">
        <f t="shared" si="43"/>
        <v>1.2166666666666666E-2</v>
      </c>
      <c r="AI62" s="255">
        <v>58</v>
      </c>
      <c r="AJ62" s="253">
        <v>42062</v>
      </c>
      <c r="AK62" s="256">
        <f t="shared" si="34"/>
        <v>1.4833333333333334E-2</v>
      </c>
      <c r="AL62" s="253">
        <v>42427</v>
      </c>
      <c r="AM62" s="256">
        <f t="shared" si="35"/>
        <v>8.5000000000000006E-3</v>
      </c>
      <c r="AO62" s="253">
        <v>42062</v>
      </c>
      <c r="AP62" s="256">
        <f t="shared" si="36"/>
        <v>2.6333333333333334E-2</v>
      </c>
      <c r="AQ62" s="253">
        <v>42427</v>
      </c>
      <c r="AR62" s="256">
        <f t="shared" si="37"/>
        <v>7.8333333333333328E-3</v>
      </c>
    </row>
    <row r="63" spans="1:62" hidden="1" x14ac:dyDescent="0.2">
      <c r="D63" s="14">
        <v>59</v>
      </c>
      <c r="E63" s="12">
        <v>41333</v>
      </c>
      <c r="F63" s="15">
        <f t="shared" si="28"/>
        <v>1.1500000000000002E-2</v>
      </c>
      <c r="H63" s="14">
        <v>59</v>
      </c>
      <c r="I63" s="12">
        <v>41698</v>
      </c>
      <c r="J63" s="15">
        <f t="shared" si="29"/>
        <v>1.0833333333333332E-2</v>
      </c>
      <c r="K63" s="4"/>
      <c r="L63" s="14">
        <v>59</v>
      </c>
      <c r="M63" s="12">
        <v>42063</v>
      </c>
      <c r="N63" s="15">
        <f t="shared" si="41"/>
        <v>9.1666666666666667E-3</v>
      </c>
      <c r="O63" s="141"/>
      <c r="P63" s="14">
        <v>59</v>
      </c>
      <c r="Q63" s="12">
        <v>41698</v>
      </c>
      <c r="R63" s="15">
        <f t="shared" si="30"/>
        <v>8.5000000000000006E-3</v>
      </c>
      <c r="S63" s="4"/>
      <c r="T63" s="14">
        <v>59</v>
      </c>
      <c r="U63" s="12">
        <v>42063</v>
      </c>
      <c r="V63" s="15">
        <f t="shared" si="42"/>
        <v>8.5000000000000006E-3</v>
      </c>
      <c r="AA63" s="14">
        <v>59</v>
      </c>
      <c r="AB63" s="12">
        <v>40967</v>
      </c>
      <c r="AC63" s="15">
        <f t="shared" si="43"/>
        <v>1.2166666666666666E-2</v>
      </c>
      <c r="AI63" s="255">
        <v>59</v>
      </c>
      <c r="AJ63" s="253">
        <v>42063</v>
      </c>
      <c r="AK63" s="256">
        <f t="shared" si="34"/>
        <v>1.4833333333333334E-2</v>
      </c>
      <c r="AL63" s="253">
        <v>42428</v>
      </c>
      <c r="AM63" s="256">
        <f t="shared" si="35"/>
        <v>8.5000000000000006E-3</v>
      </c>
      <c r="AO63" s="253">
        <v>42063</v>
      </c>
      <c r="AP63" s="256">
        <f t="shared" si="36"/>
        <v>2.6333333333333334E-2</v>
      </c>
      <c r="AQ63" s="253">
        <v>42428</v>
      </c>
      <c r="AR63" s="256">
        <f t="shared" si="37"/>
        <v>7.8333333333333328E-3</v>
      </c>
    </row>
    <row r="64" spans="1:62" hidden="1" x14ac:dyDescent="0.2">
      <c r="D64" s="14">
        <v>60</v>
      </c>
      <c r="E64" s="12">
        <v>41334</v>
      </c>
      <c r="F64" s="50">
        <f t="shared" ref="F64:F83" si="44">F$36+F$4/D$4/100</f>
        <v>1.4375000000000002E-2</v>
      </c>
      <c r="H64" s="14">
        <v>60</v>
      </c>
      <c r="I64" s="12">
        <v>41699</v>
      </c>
      <c r="J64" s="50">
        <f t="shared" ref="J64:J83" si="45">J$36+J$4/H$4/100</f>
        <v>1.3541666666666664E-2</v>
      </c>
      <c r="K64" s="4"/>
      <c r="L64" s="14">
        <v>60</v>
      </c>
      <c r="M64" s="12">
        <v>42064</v>
      </c>
      <c r="N64" s="50">
        <f>N$36+N$4/L$4/100</f>
        <v>1.1458333333333334E-2</v>
      </c>
      <c r="O64" s="141"/>
      <c r="P64" s="14">
        <v>60</v>
      </c>
      <c r="Q64" s="12">
        <v>41699</v>
      </c>
      <c r="R64" s="50">
        <f t="shared" ref="R64:R83" si="46">R$36+R$4/P$4/100</f>
        <v>1.0625000000000001E-2</v>
      </c>
      <c r="S64" s="4"/>
      <c r="T64" s="14">
        <v>60</v>
      </c>
      <c r="U64" s="12">
        <v>42064</v>
      </c>
      <c r="V64" s="50">
        <f>V$36+V$4/T$4/100</f>
        <v>1.0625000000000001E-2</v>
      </c>
      <c r="AA64" s="14">
        <v>60</v>
      </c>
      <c r="AB64" s="12">
        <v>40968</v>
      </c>
      <c r="AC64" s="15">
        <f t="shared" si="43"/>
        <v>1.2166666666666666E-2</v>
      </c>
      <c r="AI64" s="255">
        <v>60</v>
      </c>
      <c r="AJ64" s="258">
        <v>42064</v>
      </c>
      <c r="AK64" s="256">
        <f t="shared" si="34"/>
        <v>1.4833333333333334E-2</v>
      </c>
      <c r="AL64" s="253">
        <v>42430</v>
      </c>
      <c r="AM64" s="256">
        <f t="shared" si="35"/>
        <v>8.5000000000000006E-3</v>
      </c>
      <c r="AO64" s="258">
        <v>42064</v>
      </c>
      <c r="AP64" s="256">
        <f t="shared" si="36"/>
        <v>2.6333333333333334E-2</v>
      </c>
      <c r="AQ64" s="253">
        <v>42430</v>
      </c>
      <c r="AR64" s="256">
        <f t="shared" si="37"/>
        <v>7.8333333333333328E-3</v>
      </c>
    </row>
    <row r="65" spans="4:57" hidden="1" x14ac:dyDescent="0.2">
      <c r="D65" s="14">
        <v>61</v>
      </c>
      <c r="E65" s="12">
        <v>41335</v>
      </c>
      <c r="F65" s="15">
        <f t="shared" si="44"/>
        <v>1.4375000000000002E-2</v>
      </c>
      <c r="H65" s="14">
        <v>61</v>
      </c>
      <c r="I65" s="12">
        <v>41700</v>
      </c>
      <c r="J65" s="15">
        <f t="shared" si="45"/>
        <v>1.3541666666666664E-2</v>
      </c>
      <c r="K65" s="4"/>
      <c r="L65" s="14">
        <v>61</v>
      </c>
      <c r="M65" s="12">
        <v>42065</v>
      </c>
      <c r="N65" s="15">
        <f t="shared" ref="N65:N83" si="47">N$36+N$4/L$4/100</f>
        <v>1.1458333333333334E-2</v>
      </c>
      <c r="O65" s="141"/>
      <c r="P65" s="14">
        <v>61</v>
      </c>
      <c r="Q65" s="12">
        <v>41700</v>
      </c>
      <c r="R65" s="15">
        <f t="shared" si="46"/>
        <v>1.0625000000000001E-2</v>
      </c>
      <c r="S65" s="4"/>
      <c r="T65" s="14">
        <v>61</v>
      </c>
      <c r="U65" s="12">
        <v>42065</v>
      </c>
      <c r="V65" s="15">
        <f t="shared" ref="V65:V83" si="48">V$36+V$4/T$4/100</f>
        <v>1.0625000000000001E-2</v>
      </c>
      <c r="AA65" s="51">
        <v>61</v>
      </c>
      <c r="AB65" s="49">
        <v>40969</v>
      </c>
      <c r="AC65" s="50">
        <f t="shared" ref="AC65:AC84" si="49">AC$36+AC$4/AA$4/100</f>
        <v>1.5208333333333332E-2</v>
      </c>
      <c r="AI65" s="255">
        <v>61</v>
      </c>
      <c r="AJ65" s="253">
        <v>42065</v>
      </c>
      <c r="AK65" s="256">
        <f t="shared" si="34"/>
        <v>1.4833333333333334E-2</v>
      </c>
      <c r="AL65" s="253">
        <v>42431</v>
      </c>
      <c r="AM65" s="256">
        <f t="shared" si="35"/>
        <v>8.5000000000000006E-3</v>
      </c>
      <c r="AO65" s="253">
        <v>42065</v>
      </c>
      <c r="AP65" s="256">
        <f t="shared" si="36"/>
        <v>2.6333333333333334E-2</v>
      </c>
      <c r="AQ65" s="253">
        <v>42431</v>
      </c>
      <c r="AR65" s="256">
        <f t="shared" si="37"/>
        <v>7.8333333333333328E-3</v>
      </c>
      <c r="BE65" s="4" t="s">
        <v>159</v>
      </c>
    </row>
    <row r="66" spans="4:57" hidden="1" x14ac:dyDescent="0.2">
      <c r="D66" s="14">
        <v>62</v>
      </c>
      <c r="E66" s="12">
        <v>41336</v>
      </c>
      <c r="F66" s="15">
        <f t="shared" si="44"/>
        <v>1.4375000000000002E-2</v>
      </c>
      <c r="H66" s="14">
        <v>62</v>
      </c>
      <c r="I66" s="12">
        <v>41701</v>
      </c>
      <c r="J66" s="15">
        <f t="shared" si="45"/>
        <v>1.3541666666666664E-2</v>
      </c>
      <c r="K66" s="4"/>
      <c r="L66" s="14">
        <v>62</v>
      </c>
      <c r="M66" s="12">
        <v>42066</v>
      </c>
      <c r="N66" s="15">
        <f t="shared" si="47"/>
        <v>1.1458333333333334E-2</v>
      </c>
      <c r="O66" s="141"/>
      <c r="P66" s="14">
        <v>62</v>
      </c>
      <c r="Q66" s="12">
        <v>41701</v>
      </c>
      <c r="R66" s="15">
        <f t="shared" si="46"/>
        <v>1.0625000000000001E-2</v>
      </c>
      <c r="S66" s="4"/>
      <c r="T66" s="14">
        <v>62</v>
      </c>
      <c r="U66" s="12">
        <v>42066</v>
      </c>
      <c r="V66" s="15">
        <f t="shared" si="48"/>
        <v>1.0625000000000001E-2</v>
      </c>
      <c r="AA66" s="14">
        <v>62</v>
      </c>
      <c r="AB66" s="12">
        <v>40970</v>
      </c>
      <c r="AC66" s="15">
        <f t="shared" si="49"/>
        <v>1.5208333333333332E-2</v>
      </c>
      <c r="AI66" s="255">
        <v>62</v>
      </c>
      <c r="AJ66" s="253">
        <v>42066</v>
      </c>
      <c r="AK66" s="256">
        <f t="shared" si="34"/>
        <v>1.4833333333333334E-2</v>
      </c>
      <c r="AL66" s="253">
        <v>42432</v>
      </c>
      <c r="AM66" s="256">
        <f t="shared" si="35"/>
        <v>8.5000000000000006E-3</v>
      </c>
      <c r="AO66" s="253">
        <v>42066</v>
      </c>
      <c r="AP66" s="256">
        <f t="shared" si="36"/>
        <v>2.6333333333333334E-2</v>
      </c>
      <c r="AQ66" s="253">
        <v>42432</v>
      </c>
      <c r="AR66" s="256">
        <f t="shared" si="37"/>
        <v>7.8333333333333328E-3</v>
      </c>
      <c r="BE66" s="4" t="s">
        <v>47</v>
      </c>
    </row>
    <row r="67" spans="4:57" hidden="1" x14ac:dyDescent="0.2">
      <c r="D67" s="14">
        <v>63</v>
      </c>
      <c r="E67" s="12">
        <v>41337</v>
      </c>
      <c r="F67" s="15">
        <f t="shared" si="44"/>
        <v>1.4375000000000002E-2</v>
      </c>
      <c r="H67" s="14">
        <v>63</v>
      </c>
      <c r="I67" s="12">
        <v>41702</v>
      </c>
      <c r="J67" s="15">
        <f t="shared" si="45"/>
        <v>1.3541666666666664E-2</v>
      </c>
      <c r="K67" s="4"/>
      <c r="L67" s="14">
        <v>63</v>
      </c>
      <c r="M67" s="12">
        <v>42067</v>
      </c>
      <c r="N67" s="15">
        <f t="shared" si="47"/>
        <v>1.1458333333333334E-2</v>
      </c>
      <c r="O67" s="141"/>
      <c r="P67" s="14">
        <v>63</v>
      </c>
      <c r="Q67" s="12">
        <v>41702</v>
      </c>
      <c r="R67" s="15">
        <f t="shared" si="46"/>
        <v>1.0625000000000001E-2</v>
      </c>
      <c r="S67" s="4"/>
      <c r="T67" s="14">
        <v>63</v>
      </c>
      <c r="U67" s="12">
        <v>42067</v>
      </c>
      <c r="V67" s="15">
        <f t="shared" si="48"/>
        <v>1.0625000000000001E-2</v>
      </c>
      <c r="AA67" s="14">
        <v>63</v>
      </c>
      <c r="AB67" s="12">
        <v>40971</v>
      </c>
      <c r="AC67" s="15">
        <f t="shared" si="49"/>
        <v>1.5208333333333332E-2</v>
      </c>
      <c r="AI67" s="255">
        <v>63</v>
      </c>
      <c r="AJ67" s="253">
        <v>42067</v>
      </c>
      <c r="AK67" s="256">
        <f t="shared" si="34"/>
        <v>1.4833333333333334E-2</v>
      </c>
      <c r="AL67" s="253">
        <v>42433</v>
      </c>
      <c r="AM67" s="256">
        <f t="shared" si="35"/>
        <v>8.5000000000000006E-3</v>
      </c>
      <c r="AO67" s="253">
        <v>42067</v>
      </c>
      <c r="AP67" s="256">
        <f t="shared" si="36"/>
        <v>2.6333333333333334E-2</v>
      </c>
      <c r="AQ67" s="253">
        <v>42433</v>
      </c>
      <c r="AR67" s="256">
        <f t="shared" si="37"/>
        <v>7.8333333333333328E-3</v>
      </c>
      <c r="BE67" s="4" t="s">
        <v>87</v>
      </c>
    </row>
    <row r="68" spans="4:57" hidden="1" x14ac:dyDescent="0.2">
      <c r="D68" s="14">
        <v>64</v>
      </c>
      <c r="E68" s="12">
        <v>41338</v>
      </c>
      <c r="F68" s="15">
        <f t="shared" si="44"/>
        <v>1.4375000000000002E-2</v>
      </c>
      <c r="H68" s="14">
        <v>64</v>
      </c>
      <c r="I68" s="12">
        <v>41703</v>
      </c>
      <c r="J68" s="15">
        <f t="shared" si="45"/>
        <v>1.3541666666666664E-2</v>
      </c>
      <c r="K68" s="4"/>
      <c r="L68" s="14">
        <v>64</v>
      </c>
      <c r="M68" s="12">
        <v>42068</v>
      </c>
      <c r="N68" s="15">
        <f t="shared" si="47"/>
        <v>1.1458333333333334E-2</v>
      </c>
      <c r="O68" s="141"/>
      <c r="P68" s="14">
        <v>64</v>
      </c>
      <c r="Q68" s="12">
        <v>41703</v>
      </c>
      <c r="R68" s="15">
        <f t="shared" si="46"/>
        <v>1.0625000000000001E-2</v>
      </c>
      <c r="S68" s="4"/>
      <c r="T68" s="14">
        <v>64</v>
      </c>
      <c r="U68" s="12">
        <v>42068</v>
      </c>
      <c r="V68" s="15">
        <f t="shared" si="48"/>
        <v>1.0625000000000001E-2</v>
      </c>
      <c r="AA68" s="14">
        <v>64</v>
      </c>
      <c r="AB68" s="12">
        <v>40972</v>
      </c>
      <c r="AC68" s="15">
        <f t="shared" si="49"/>
        <v>1.5208333333333332E-2</v>
      </c>
      <c r="AI68" s="255">
        <v>64</v>
      </c>
      <c r="AJ68" s="253">
        <v>42068</v>
      </c>
      <c r="AK68" s="256">
        <f t="shared" si="34"/>
        <v>1.4833333333333334E-2</v>
      </c>
      <c r="AL68" s="253">
        <v>42434</v>
      </c>
      <c r="AM68" s="256">
        <f t="shared" si="35"/>
        <v>8.5000000000000006E-3</v>
      </c>
      <c r="AO68" s="253">
        <v>42068</v>
      </c>
      <c r="AP68" s="256">
        <f t="shared" si="36"/>
        <v>2.6333333333333334E-2</v>
      </c>
      <c r="AQ68" s="253">
        <v>42434</v>
      </c>
      <c r="AR68" s="256">
        <f t="shared" si="37"/>
        <v>7.8333333333333328E-3</v>
      </c>
      <c r="BE68" s="4" t="s">
        <v>48</v>
      </c>
    </row>
    <row r="69" spans="4:57" hidden="1" x14ac:dyDescent="0.2">
      <c r="D69" s="14">
        <v>65</v>
      </c>
      <c r="E69" s="12">
        <v>41339</v>
      </c>
      <c r="F69" s="15">
        <f t="shared" si="44"/>
        <v>1.4375000000000002E-2</v>
      </c>
      <c r="H69" s="14">
        <v>65</v>
      </c>
      <c r="I69" s="12">
        <v>41704</v>
      </c>
      <c r="J69" s="15">
        <f t="shared" si="45"/>
        <v>1.3541666666666664E-2</v>
      </c>
      <c r="K69" s="4"/>
      <c r="L69" s="14">
        <v>65</v>
      </c>
      <c r="M69" s="12">
        <v>42069</v>
      </c>
      <c r="N69" s="15">
        <f t="shared" si="47"/>
        <v>1.1458333333333334E-2</v>
      </c>
      <c r="O69" s="141"/>
      <c r="P69" s="14">
        <v>65</v>
      </c>
      <c r="Q69" s="12">
        <v>41704</v>
      </c>
      <c r="R69" s="15">
        <f t="shared" si="46"/>
        <v>1.0625000000000001E-2</v>
      </c>
      <c r="S69" s="4"/>
      <c r="T69" s="14">
        <v>65</v>
      </c>
      <c r="U69" s="12">
        <v>42069</v>
      </c>
      <c r="V69" s="15">
        <f t="shared" si="48"/>
        <v>1.0625000000000001E-2</v>
      </c>
      <c r="AA69" s="14">
        <v>65</v>
      </c>
      <c r="AB69" s="12">
        <v>40973</v>
      </c>
      <c r="AC69" s="15">
        <f t="shared" si="49"/>
        <v>1.5208333333333332E-2</v>
      </c>
      <c r="AI69" s="255">
        <v>65</v>
      </c>
      <c r="AJ69" s="253">
        <v>42069</v>
      </c>
      <c r="AK69" s="259">
        <f>AK$68+AK$4/AI$4/100</f>
        <v>2.2249999999999999E-2</v>
      </c>
      <c r="AL69" s="253">
        <v>42435</v>
      </c>
      <c r="AM69" s="259">
        <f t="shared" ref="AM69:AM99" si="50">AM$68+AM$4/AI$4/100</f>
        <v>1.2750000000000001E-2</v>
      </c>
      <c r="AO69" s="253">
        <v>42069</v>
      </c>
      <c r="AP69" s="259">
        <f t="shared" ref="AP69:AP99" si="51">AP$68+AP$4/$AI$4/100</f>
        <v>3.95E-2</v>
      </c>
      <c r="AQ69" s="253">
        <v>42435</v>
      </c>
      <c r="AR69" s="259">
        <f t="shared" ref="AR69:AR99" si="52">AR$68+AR$4/$AI$4/100</f>
        <v>1.175E-2</v>
      </c>
      <c r="BE69" s="4" t="s">
        <v>154</v>
      </c>
    </row>
    <row r="70" spans="4:57" hidden="1" x14ac:dyDescent="0.2">
      <c r="D70" s="14">
        <v>66</v>
      </c>
      <c r="E70" s="12">
        <v>41340</v>
      </c>
      <c r="F70" s="15">
        <f t="shared" si="44"/>
        <v>1.4375000000000002E-2</v>
      </c>
      <c r="H70" s="14">
        <v>66</v>
      </c>
      <c r="I70" s="12">
        <v>41705</v>
      </c>
      <c r="J70" s="15">
        <f t="shared" si="45"/>
        <v>1.3541666666666664E-2</v>
      </c>
      <c r="K70" s="4"/>
      <c r="L70" s="14">
        <v>66</v>
      </c>
      <c r="M70" s="12">
        <v>42070</v>
      </c>
      <c r="N70" s="15">
        <f t="shared" si="47"/>
        <v>1.1458333333333334E-2</v>
      </c>
      <c r="O70" s="141"/>
      <c r="P70" s="14">
        <v>66</v>
      </c>
      <c r="Q70" s="12">
        <v>41705</v>
      </c>
      <c r="R70" s="15">
        <f t="shared" si="46"/>
        <v>1.0625000000000001E-2</v>
      </c>
      <c r="S70" s="4"/>
      <c r="T70" s="14">
        <v>66</v>
      </c>
      <c r="U70" s="12">
        <v>42070</v>
      </c>
      <c r="V70" s="15">
        <f t="shared" si="48"/>
        <v>1.0625000000000001E-2</v>
      </c>
      <c r="AA70" s="14">
        <v>66</v>
      </c>
      <c r="AB70" s="12">
        <v>40974</v>
      </c>
      <c r="AC70" s="15">
        <f t="shared" si="49"/>
        <v>1.5208333333333332E-2</v>
      </c>
      <c r="AI70" s="255">
        <v>66</v>
      </c>
      <c r="AJ70" s="253">
        <v>42070</v>
      </c>
      <c r="AK70" s="256">
        <f t="shared" ref="AK70:AK99" si="53">AK$68+AK$4/AI$4/100</f>
        <v>2.2249999999999999E-2</v>
      </c>
      <c r="AL70" s="253">
        <v>42436</v>
      </c>
      <c r="AM70" s="256">
        <f t="shared" si="50"/>
        <v>1.2750000000000001E-2</v>
      </c>
      <c r="AO70" s="253">
        <v>42070</v>
      </c>
      <c r="AP70" s="256">
        <f t="shared" si="51"/>
        <v>3.95E-2</v>
      </c>
      <c r="AQ70" s="253">
        <v>42436</v>
      </c>
      <c r="AR70" s="256">
        <f t="shared" si="52"/>
        <v>1.175E-2</v>
      </c>
      <c r="BE70" s="4" t="s">
        <v>44</v>
      </c>
    </row>
    <row r="71" spans="4:57" hidden="1" x14ac:dyDescent="0.2">
      <c r="D71" s="14">
        <v>67</v>
      </c>
      <c r="E71" s="12">
        <v>41341</v>
      </c>
      <c r="F71" s="15">
        <f t="shared" si="44"/>
        <v>1.4375000000000002E-2</v>
      </c>
      <c r="H71" s="14">
        <v>67</v>
      </c>
      <c r="I71" s="12">
        <v>41706</v>
      </c>
      <c r="J71" s="15">
        <f t="shared" si="45"/>
        <v>1.3541666666666664E-2</v>
      </c>
      <c r="K71" s="4"/>
      <c r="L71" s="14">
        <v>67</v>
      </c>
      <c r="M71" s="12">
        <v>42071</v>
      </c>
      <c r="N71" s="15">
        <f t="shared" si="47"/>
        <v>1.1458333333333334E-2</v>
      </c>
      <c r="O71" s="141"/>
      <c r="P71" s="14">
        <v>67</v>
      </c>
      <c r="Q71" s="12">
        <v>41706</v>
      </c>
      <c r="R71" s="15">
        <f t="shared" si="46"/>
        <v>1.0625000000000001E-2</v>
      </c>
      <c r="S71" s="4"/>
      <c r="T71" s="14">
        <v>67</v>
      </c>
      <c r="U71" s="12">
        <v>42071</v>
      </c>
      <c r="V71" s="15">
        <f t="shared" si="48"/>
        <v>1.0625000000000001E-2</v>
      </c>
      <c r="AA71" s="14">
        <v>67</v>
      </c>
      <c r="AB71" s="12">
        <v>40975</v>
      </c>
      <c r="AC71" s="15">
        <f t="shared" si="49"/>
        <v>1.5208333333333332E-2</v>
      </c>
      <c r="AI71" s="255">
        <v>67</v>
      </c>
      <c r="AJ71" s="253">
        <v>42071</v>
      </c>
      <c r="AK71" s="256">
        <f t="shared" si="53"/>
        <v>2.2249999999999999E-2</v>
      </c>
      <c r="AL71" s="253">
        <v>42437</v>
      </c>
      <c r="AM71" s="256">
        <f t="shared" si="50"/>
        <v>1.2750000000000001E-2</v>
      </c>
      <c r="AO71" s="253">
        <v>42071</v>
      </c>
      <c r="AP71" s="256">
        <f t="shared" si="51"/>
        <v>3.95E-2</v>
      </c>
      <c r="AQ71" s="253">
        <v>42437</v>
      </c>
      <c r="AR71" s="256">
        <f t="shared" si="52"/>
        <v>1.175E-2</v>
      </c>
      <c r="BE71" s="4" t="s">
        <v>40</v>
      </c>
    </row>
    <row r="72" spans="4:57" hidden="1" x14ac:dyDescent="0.2">
      <c r="D72" s="14">
        <v>68</v>
      </c>
      <c r="E72" s="12">
        <v>41342</v>
      </c>
      <c r="F72" s="15">
        <f t="shared" si="44"/>
        <v>1.4375000000000002E-2</v>
      </c>
      <c r="H72" s="14">
        <v>68</v>
      </c>
      <c r="I72" s="12">
        <v>41707</v>
      </c>
      <c r="J72" s="15">
        <f t="shared" si="45"/>
        <v>1.3541666666666664E-2</v>
      </c>
      <c r="K72" s="4"/>
      <c r="L72" s="14">
        <v>68</v>
      </c>
      <c r="M72" s="12">
        <v>42072</v>
      </c>
      <c r="N72" s="15">
        <f t="shared" si="47"/>
        <v>1.1458333333333334E-2</v>
      </c>
      <c r="O72" s="141"/>
      <c r="P72" s="14">
        <v>68</v>
      </c>
      <c r="Q72" s="12">
        <v>41707</v>
      </c>
      <c r="R72" s="15">
        <f t="shared" si="46"/>
        <v>1.0625000000000001E-2</v>
      </c>
      <c r="S72" s="4"/>
      <c r="T72" s="14">
        <v>68</v>
      </c>
      <c r="U72" s="12">
        <v>42072</v>
      </c>
      <c r="V72" s="15">
        <f t="shared" si="48"/>
        <v>1.0625000000000001E-2</v>
      </c>
      <c r="AA72" s="14">
        <v>68</v>
      </c>
      <c r="AB72" s="12">
        <v>40976</v>
      </c>
      <c r="AC72" s="15">
        <f t="shared" si="49"/>
        <v>1.5208333333333332E-2</v>
      </c>
      <c r="AI72" s="255">
        <v>68</v>
      </c>
      <c r="AJ72" s="253">
        <v>42072</v>
      </c>
      <c r="AK72" s="256">
        <f t="shared" si="53"/>
        <v>2.2249999999999999E-2</v>
      </c>
      <c r="AL72" s="253">
        <v>42438</v>
      </c>
      <c r="AM72" s="256">
        <f t="shared" si="50"/>
        <v>1.2750000000000001E-2</v>
      </c>
      <c r="AO72" s="253">
        <v>42072</v>
      </c>
      <c r="AP72" s="256">
        <f t="shared" si="51"/>
        <v>3.95E-2</v>
      </c>
      <c r="AQ72" s="253">
        <v>42438</v>
      </c>
      <c r="AR72" s="256">
        <f t="shared" si="52"/>
        <v>1.175E-2</v>
      </c>
      <c r="BE72" s="4" t="s">
        <v>77</v>
      </c>
    </row>
    <row r="73" spans="4:57" hidden="1" x14ac:dyDescent="0.2">
      <c r="D73" s="14">
        <v>69</v>
      </c>
      <c r="E73" s="12">
        <v>41343</v>
      </c>
      <c r="F73" s="15">
        <f t="shared" si="44"/>
        <v>1.4375000000000002E-2</v>
      </c>
      <c r="H73" s="14">
        <v>69</v>
      </c>
      <c r="I73" s="12">
        <v>41708</v>
      </c>
      <c r="J73" s="15">
        <f t="shared" si="45"/>
        <v>1.3541666666666664E-2</v>
      </c>
      <c r="K73" s="4"/>
      <c r="L73" s="14">
        <v>69</v>
      </c>
      <c r="M73" s="12">
        <v>42073</v>
      </c>
      <c r="N73" s="15">
        <f t="shared" si="47"/>
        <v>1.1458333333333334E-2</v>
      </c>
      <c r="O73" s="141"/>
      <c r="P73" s="14">
        <v>69</v>
      </c>
      <c r="Q73" s="12">
        <v>41708</v>
      </c>
      <c r="R73" s="15">
        <f t="shared" si="46"/>
        <v>1.0625000000000001E-2</v>
      </c>
      <c r="S73" s="4"/>
      <c r="T73" s="14">
        <v>69</v>
      </c>
      <c r="U73" s="12">
        <v>42073</v>
      </c>
      <c r="V73" s="15">
        <f t="shared" si="48"/>
        <v>1.0625000000000001E-2</v>
      </c>
      <c r="AA73" s="14">
        <v>69</v>
      </c>
      <c r="AB73" s="12">
        <v>40977</v>
      </c>
      <c r="AC73" s="15">
        <f t="shared" si="49"/>
        <v>1.5208333333333332E-2</v>
      </c>
      <c r="AI73" s="255">
        <v>69</v>
      </c>
      <c r="AJ73" s="253">
        <v>42073</v>
      </c>
      <c r="AK73" s="256">
        <f t="shared" si="53"/>
        <v>2.2249999999999999E-2</v>
      </c>
      <c r="AL73" s="253">
        <v>42439</v>
      </c>
      <c r="AM73" s="256">
        <f t="shared" si="50"/>
        <v>1.2750000000000001E-2</v>
      </c>
      <c r="AO73" s="253">
        <v>42073</v>
      </c>
      <c r="AP73" s="256">
        <f t="shared" si="51"/>
        <v>3.95E-2</v>
      </c>
      <c r="AQ73" s="253">
        <v>42439</v>
      </c>
      <c r="AR73" s="256">
        <f t="shared" si="52"/>
        <v>1.175E-2</v>
      </c>
      <c r="BE73" s="4" t="s">
        <v>18</v>
      </c>
    </row>
    <row r="74" spans="4:57" hidden="1" x14ac:dyDescent="0.2">
      <c r="D74" s="14">
        <v>70</v>
      </c>
      <c r="E74" s="12">
        <v>41344</v>
      </c>
      <c r="F74" s="15">
        <f t="shared" si="44"/>
        <v>1.4375000000000002E-2</v>
      </c>
      <c r="H74" s="14">
        <v>70</v>
      </c>
      <c r="I74" s="12">
        <v>41709</v>
      </c>
      <c r="J74" s="15">
        <f t="shared" si="45"/>
        <v>1.3541666666666664E-2</v>
      </c>
      <c r="K74" s="4"/>
      <c r="L74" s="14">
        <v>70</v>
      </c>
      <c r="M74" s="12">
        <v>42074</v>
      </c>
      <c r="N74" s="15">
        <f t="shared" si="47"/>
        <v>1.1458333333333334E-2</v>
      </c>
      <c r="O74" s="141"/>
      <c r="P74" s="14">
        <v>70</v>
      </c>
      <c r="Q74" s="12">
        <v>41709</v>
      </c>
      <c r="R74" s="15">
        <f t="shared" si="46"/>
        <v>1.0625000000000001E-2</v>
      </c>
      <c r="S74" s="4"/>
      <c r="T74" s="14">
        <v>70</v>
      </c>
      <c r="U74" s="12">
        <v>42074</v>
      </c>
      <c r="V74" s="15">
        <f t="shared" si="48"/>
        <v>1.0625000000000001E-2</v>
      </c>
      <c r="AA74" s="14">
        <v>70</v>
      </c>
      <c r="AB74" s="12">
        <v>40978</v>
      </c>
      <c r="AC74" s="15">
        <f t="shared" si="49"/>
        <v>1.5208333333333332E-2</v>
      </c>
      <c r="AI74" s="255">
        <v>70</v>
      </c>
      <c r="AJ74" s="253">
        <v>42074</v>
      </c>
      <c r="AK74" s="256">
        <f t="shared" si="53"/>
        <v>2.2249999999999999E-2</v>
      </c>
      <c r="AL74" s="253">
        <v>42440</v>
      </c>
      <c r="AM74" s="256">
        <f t="shared" si="50"/>
        <v>1.2750000000000001E-2</v>
      </c>
      <c r="AO74" s="253">
        <v>42074</v>
      </c>
      <c r="AP74" s="256">
        <f t="shared" si="51"/>
        <v>3.95E-2</v>
      </c>
      <c r="AQ74" s="253">
        <v>42440</v>
      </c>
      <c r="AR74" s="256">
        <f t="shared" si="52"/>
        <v>1.175E-2</v>
      </c>
      <c r="BE74" s="4" t="s">
        <v>49</v>
      </c>
    </row>
    <row r="75" spans="4:57" hidden="1" x14ac:dyDescent="0.2">
      <c r="D75" s="14">
        <v>71</v>
      </c>
      <c r="E75" s="12">
        <v>41345</v>
      </c>
      <c r="F75" s="15">
        <f t="shared" si="44"/>
        <v>1.4375000000000002E-2</v>
      </c>
      <c r="H75" s="14">
        <v>71</v>
      </c>
      <c r="I75" s="12">
        <v>41710</v>
      </c>
      <c r="J75" s="15">
        <f t="shared" si="45"/>
        <v>1.3541666666666664E-2</v>
      </c>
      <c r="K75" s="4"/>
      <c r="L75" s="14">
        <v>71</v>
      </c>
      <c r="M75" s="12">
        <v>42075</v>
      </c>
      <c r="N75" s="15">
        <f t="shared" si="47"/>
        <v>1.1458333333333334E-2</v>
      </c>
      <c r="O75" s="141"/>
      <c r="P75" s="14">
        <v>71</v>
      </c>
      <c r="Q75" s="12">
        <v>41710</v>
      </c>
      <c r="R75" s="15">
        <f t="shared" si="46"/>
        <v>1.0625000000000001E-2</v>
      </c>
      <c r="S75" s="4"/>
      <c r="T75" s="14">
        <v>71</v>
      </c>
      <c r="U75" s="12">
        <v>42075</v>
      </c>
      <c r="V75" s="15">
        <f t="shared" si="48"/>
        <v>1.0625000000000001E-2</v>
      </c>
      <c r="AA75" s="14">
        <v>71</v>
      </c>
      <c r="AB75" s="12">
        <v>40979</v>
      </c>
      <c r="AC75" s="15">
        <f t="shared" si="49"/>
        <v>1.5208333333333332E-2</v>
      </c>
      <c r="AI75" s="255">
        <v>71</v>
      </c>
      <c r="AJ75" s="253">
        <v>42075</v>
      </c>
      <c r="AK75" s="256">
        <f t="shared" si="53"/>
        <v>2.2249999999999999E-2</v>
      </c>
      <c r="AL75" s="253">
        <v>42441</v>
      </c>
      <c r="AM75" s="256">
        <f t="shared" si="50"/>
        <v>1.2750000000000001E-2</v>
      </c>
      <c r="AO75" s="253">
        <v>42075</v>
      </c>
      <c r="AP75" s="256">
        <f t="shared" si="51"/>
        <v>3.95E-2</v>
      </c>
      <c r="AQ75" s="253">
        <v>42441</v>
      </c>
      <c r="AR75" s="256">
        <f t="shared" si="52"/>
        <v>1.175E-2</v>
      </c>
      <c r="BE75" s="4" t="s">
        <v>158</v>
      </c>
    </row>
    <row r="76" spans="4:57" hidden="1" x14ac:dyDescent="0.2">
      <c r="D76" s="14">
        <v>72</v>
      </c>
      <c r="E76" s="12">
        <v>41346</v>
      </c>
      <c r="F76" s="15">
        <f t="shared" si="44"/>
        <v>1.4375000000000002E-2</v>
      </c>
      <c r="H76" s="14">
        <v>72</v>
      </c>
      <c r="I76" s="12">
        <v>41711</v>
      </c>
      <c r="J76" s="15">
        <f t="shared" si="45"/>
        <v>1.3541666666666664E-2</v>
      </c>
      <c r="K76" s="4"/>
      <c r="L76" s="14">
        <v>72</v>
      </c>
      <c r="M76" s="12">
        <v>42076</v>
      </c>
      <c r="N76" s="15">
        <f t="shared" si="47"/>
        <v>1.1458333333333334E-2</v>
      </c>
      <c r="O76" s="141"/>
      <c r="P76" s="14">
        <v>72</v>
      </c>
      <c r="Q76" s="12">
        <v>41711</v>
      </c>
      <c r="R76" s="15">
        <f t="shared" si="46"/>
        <v>1.0625000000000001E-2</v>
      </c>
      <c r="S76" s="4"/>
      <c r="T76" s="14">
        <v>72</v>
      </c>
      <c r="U76" s="12">
        <v>42076</v>
      </c>
      <c r="V76" s="15">
        <f t="shared" si="48"/>
        <v>1.0625000000000001E-2</v>
      </c>
      <c r="AA76" s="14">
        <v>72</v>
      </c>
      <c r="AB76" s="12">
        <v>40980</v>
      </c>
      <c r="AC76" s="15">
        <f t="shared" si="49"/>
        <v>1.5208333333333332E-2</v>
      </c>
      <c r="AI76" s="255">
        <v>72</v>
      </c>
      <c r="AJ76" s="253">
        <v>42076</v>
      </c>
      <c r="AK76" s="256">
        <f t="shared" si="53"/>
        <v>2.2249999999999999E-2</v>
      </c>
      <c r="AL76" s="253">
        <v>42442</v>
      </c>
      <c r="AM76" s="256">
        <f t="shared" si="50"/>
        <v>1.2750000000000001E-2</v>
      </c>
      <c r="AO76" s="253">
        <v>42076</v>
      </c>
      <c r="AP76" s="256">
        <f t="shared" si="51"/>
        <v>3.95E-2</v>
      </c>
      <c r="AQ76" s="253">
        <v>42442</v>
      </c>
      <c r="AR76" s="256">
        <f t="shared" si="52"/>
        <v>1.175E-2</v>
      </c>
      <c r="BE76" s="4" t="s">
        <v>137</v>
      </c>
    </row>
    <row r="77" spans="4:57" hidden="1" x14ac:dyDescent="0.2">
      <c r="D77" s="14">
        <v>73</v>
      </c>
      <c r="E77" s="12">
        <v>41347</v>
      </c>
      <c r="F77" s="15">
        <f t="shared" si="44"/>
        <v>1.4375000000000002E-2</v>
      </c>
      <c r="H77" s="14">
        <v>73</v>
      </c>
      <c r="I77" s="12">
        <v>41712</v>
      </c>
      <c r="J77" s="15">
        <f t="shared" si="45"/>
        <v>1.3541666666666664E-2</v>
      </c>
      <c r="K77" s="4"/>
      <c r="L77" s="14">
        <v>73</v>
      </c>
      <c r="M77" s="12">
        <v>42077</v>
      </c>
      <c r="N77" s="15">
        <f t="shared" si="47"/>
        <v>1.1458333333333334E-2</v>
      </c>
      <c r="O77" s="141"/>
      <c r="P77" s="14">
        <v>73</v>
      </c>
      <c r="Q77" s="12">
        <v>41712</v>
      </c>
      <c r="R77" s="15">
        <f t="shared" si="46"/>
        <v>1.0625000000000001E-2</v>
      </c>
      <c r="S77" s="4"/>
      <c r="T77" s="14">
        <v>73</v>
      </c>
      <c r="U77" s="12">
        <v>42077</v>
      </c>
      <c r="V77" s="15">
        <f t="shared" si="48"/>
        <v>1.0625000000000001E-2</v>
      </c>
      <c r="AA77" s="14">
        <v>73</v>
      </c>
      <c r="AB77" s="12">
        <v>40981</v>
      </c>
      <c r="AC77" s="15">
        <f t="shared" si="49"/>
        <v>1.5208333333333332E-2</v>
      </c>
      <c r="AI77" s="255">
        <v>73</v>
      </c>
      <c r="AJ77" s="253">
        <v>42077</v>
      </c>
      <c r="AK77" s="256">
        <f t="shared" si="53"/>
        <v>2.2249999999999999E-2</v>
      </c>
      <c r="AL77" s="253">
        <v>42443</v>
      </c>
      <c r="AM77" s="256">
        <f t="shared" si="50"/>
        <v>1.2750000000000001E-2</v>
      </c>
      <c r="AO77" s="253">
        <v>42077</v>
      </c>
      <c r="AP77" s="256">
        <f t="shared" si="51"/>
        <v>3.95E-2</v>
      </c>
      <c r="AQ77" s="253">
        <v>42443</v>
      </c>
      <c r="AR77" s="256">
        <f t="shared" si="52"/>
        <v>1.175E-2</v>
      </c>
      <c r="BE77" s="4" t="s">
        <v>70</v>
      </c>
    </row>
    <row r="78" spans="4:57" hidden="1" x14ac:dyDescent="0.2">
      <c r="D78" s="14">
        <v>74</v>
      </c>
      <c r="E78" s="12">
        <v>41348</v>
      </c>
      <c r="F78" s="15">
        <f t="shared" si="44"/>
        <v>1.4375000000000002E-2</v>
      </c>
      <c r="H78" s="14">
        <v>74</v>
      </c>
      <c r="I78" s="12">
        <v>41713</v>
      </c>
      <c r="J78" s="15">
        <f t="shared" si="45"/>
        <v>1.3541666666666664E-2</v>
      </c>
      <c r="K78" s="4"/>
      <c r="L78" s="14">
        <v>74</v>
      </c>
      <c r="M78" s="12">
        <v>42078</v>
      </c>
      <c r="N78" s="15">
        <f t="shared" si="47"/>
        <v>1.1458333333333334E-2</v>
      </c>
      <c r="O78" s="141"/>
      <c r="P78" s="14">
        <v>74</v>
      </c>
      <c r="Q78" s="12">
        <v>41713</v>
      </c>
      <c r="R78" s="15">
        <f t="shared" si="46"/>
        <v>1.0625000000000001E-2</v>
      </c>
      <c r="S78" s="4"/>
      <c r="T78" s="14">
        <v>74</v>
      </c>
      <c r="U78" s="12">
        <v>42078</v>
      </c>
      <c r="V78" s="15">
        <f t="shared" si="48"/>
        <v>1.0625000000000001E-2</v>
      </c>
      <c r="AA78" s="14">
        <v>74</v>
      </c>
      <c r="AB78" s="12">
        <v>40982</v>
      </c>
      <c r="AC78" s="15">
        <f t="shared" si="49"/>
        <v>1.5208333333333332E-2</v>
      </c>
      <c r="AI78" s="255">
        <v>74</v>
      </c>
      <c r="AJ78" s="253">
        <v>42078</v>
      </c>
      <c r="AK78" s="256">
        <f t="shared" si="53"/>
        <v>2.2249999999999999E-2</v>
      </c>
      <c r="AL78" s="253">
        <v>42444</v>
      </c>
      <c r="AM78" s="256">
        <f t="shared" si="50"/>
        <v>1.2750000000000001E-2</v>
      </c>
      <c r="AO78" s="253">
        <v>42078</v>
      </c>
      <c r="AP78" s="256">
        <f t="shared" si="51"/>
        <v>3.95E-2</v>
      </c>
      <c r="AQ78" s="253">
        <v>42444</v>
      </c>
      <c r="AR78" s="256">
        <f t="shared" si="52"/>
        <v>1.175E-2</v>
      </c>
      <c r="BE78" s="4" t="s">
        <v>7</v>
      </c>
    </row>
    <row r="79" spans="4:57" hidden="1" x14ac:dyDescent="0.2">
      <c r="D79" s="14">
        <v>75</v>
      </c>
      <c r="E79" s="12">
        <v>41349</v>
      </c>
      <c r="F79" s="15">
        <f t="shared" si="44"/>
        <v>1.4375000000000002E-2</v>
      </c>
      <c r="H79" s="14">
        <v>75</v>
      </c>
      <c r="I79" s="12">
        <v>41714</v>
      </c>
      <c r="J79" s="15">
        <f t="shared" si="45"/>
        <v>1.3541666666666664E-2</v>
      </c>
      <c r="K79" s="4"/>
      <c r="L79" s="14">
        <v>75</v>
      </c>
      <c r="M79" s="12">
        <v>42079</v>
      </c>
      <c r="N79" s="15">
        <f t="shared" si="47"/>
        <v>1.1458333333333334E-2</v>
      </c>
      <c r="O79" s="141"/>
      <c r="P79" s="14">
        <v>75</v>
      </c>
      <c r="Q79" s="12">
        <v>41714</v>
      </c>
      <c r="R79" s="15">
        <f t="shared" si="46"/>
        <v>1.0625000000000001E-2</v>
      </c>
      <c r="S79" s="4"/>
      <c r="T79" s="14">
        <v>75</v>
      </c>
      <c r="U79" s="12">
        <v>42079</v>
      </c>
      <c r="V79" s="15">
        <f t="shared" si="48"/>
        <v>1.0625000000000001E-2</v>
      </c>
      <c r="AA79" s="14">
        <v>75</v>
      </c>
      <c r="AB79" s="12">
        <v>40983</v>
      </c>
      <c r="AC79" s="15">
        <f t="shared" si="49"/>
        <v>1.5208333333333332E-2</v>
      </c>
      <c r="AI79" s="255">
        <v>75</v>
      </c>
      <c r="AJ79" s="253">
        <v>42079</v>
      </c>
      <c r="AK79" s="256">
        <f t="shared" si="53"/>
        <v>2.2249999999999999E-2</v>
      </c>
      <c r="AL79" s="253">
        <v>42445</v>
      </c>
      <c r="AM79" s="256">
        <f t="shared" si="50"/>
        <v>1.2750000000000001E-2</v>
      </c>
      <c r="AO79" s="253">
        <v>42079</v>
      </c>
      <c r="AP79" s="256">
        <f t="shared" si="51"/>
        <v>3.95E-2</v>
      </c>
      <c r="AQ79" s="253">
        <v>42445</v>
      </c>
      <c r="AR79" s="256">
        <f t="shared" si="52"/>
        <v>1.175E-2</v>
      </c>
      <c r="BE79" s="4" t="s">
        <v>32</v>
      </c>
    </row>
    <row r="80" spans="4:57" hidden="1" x14ac:dyDescent="0.2">
      <c r="D80" s="14">
        <v>76</v>
      </c>
      <c r="E80" s="12">
        <v>41350</v>
      </c>
      <c r="F80" s="15">
        <f t="shared" si="44"/>
        <v>1.4375000000000002E-2</v>
      </c>
      <c r="H80" s="14">
        <v>76</v>
      </c>
      <c r="I80" s="12">
        <v>41715</v>
      </c>
      <c r="J80" s="15">
        <f t="shared" si="45"/>
        <v>1.3541666666666664E-2</v>
      </c>
      <c r="K80" s="4"/>
      <c r="L80" s="14">
        <v>76</v>
      </c>
      <c r="M80" s="12">
        <v>42080</v>
      </c>
      <c r="N80" s="15">
        <f t="shared" si="47"/>
        <v>1.1458333333333334E-2</v>
      </c>
      <c r="O80" s="141"/>
      <c r="P80" s="14">
        <v>76</v>
      </c>
      <c r="Q80" s="12">
        <v>41715</v>
      </c>
      <c r="R80" s="15">
        <f t="shared" si="46"/>
        <v>1.0625000000000001E-2</v>
      </c>
      <c r="S80" s="4"/>
      <c r="T80" s="14">
        <v>76</v>
      </c>
      <c r="U80" s="12">
        <v>42080</v>
      </c>
      <c r="V80" s="15">
        <f t="shared" si="48"/>
        <v>1.0625000000000001E-2</v>
      </c>
      <c r="AA80" s="14">
        <v>76</v>
      </c>
      <c r="AB80" s="12">
        <v>40984</v>
      </c>
      <c r="AC80" s="15">
        <f t="shared" si="49"/>
        <v>1.5208333333333332E-2</v>
      </c>
      <c r="AI80" s="255">
        <v>76</v>
      </c>
      <c r="AJ80" s="253">
        <v>42080</v>
      </c>
      <c r="AK80" s="256">
        <f t="shared" si="53"/>
        <v>2.2249999999999999E-2</v>
      </c>
      <c r="AL80" s="253">
        <v>42446</v>
      </c>
      <c r="AM80" s="256">
        <f t="shared" si="50"/>
        <v>1.2750000000000001E-2</v>
      </c>
      <c r="AO80" s="253">
        <v>42080</v>
      </c>
      <c r="AP80" s="256">
        <f t="shared" si="51"/>
        <v>3.95E-2</v>
      </c>
      <c r="AQ80" s="253">
        <v>42446</v>
      </c>
      <c r="AR80" s="256">
        <f t="shared" si="52"/>
        <v>1.175E-2</v>
      </c>
      <c r="BE80" s="4" t="s">
        <v>54</v>
      </c>
    </row>
    <row r="81" spans="4:57" hidden="1" x14ac:dyDescent="0.2">
      <c r="D81" s="14">
        <v>77</v>
      </c>
      <c r="E81" s="12">
        <v>41351</v>
      </c>
      <c r="F81" s="15">
        <f t="shared" si="44"/>
        <v>1.4375000000000002E-2</v>
      </c>
      <c r="H81" s="14">
        <v>77</v>
      </c>
      <c r="I81" s="12">
        <v>41716</v>
      </c>
      <c r="J81" s="15">
        <f t="shared" si="45"/>
        <v>1.3541666666666664E-2</v>
      </c>
      <c r="K81" s="4"/>
      <c r="L81" s="14">
        <v>77</v>
      </c>
      <c r="M81" s="12">
        <v>42081</v>
      </c>
      <c r="N81" s="15">
        <f t="shared" si="47"/>
        <v>1.1458333333333334E-2</v>
      </c>
      <c r="O81" s="141"/>
      <c r="P81" s="14">
        <v>77</v>
      </c>
      <c r="Q81" s="12">
        <v>41716</v>
      </c>
      <c r="R81" s="15">
        <f t="shared" si="46"/>
        <v>1.0625000000000001E-2</v>
      </c>
      <c r="S81" s="4"/>
      <c r="T81" s="14">
        <v>77</v>
      </c>
      <c r="U81" s="12">
        <v>42081</v>
      </c>
      <c r="V81" s="15">
        <f t="shared" si="48"/>
        <v>1.0625000000000001E-2</v>
      </c>
      <c r="AA81" s="14">
        <v>77</v>
      </c>
      <c r="AB81" s="12">
        <v>40985</v>
      </c>
      <c r="AC81" s="15">
        <f t="shared" si="49"/>
        <v>1.5208333333333332E-2</v>
      </c>
      <c r="AI81" s="255">
        <v>77</v>
      </c>
      <c r="AJ81" s="253">
        <v>42081</v>
      </c>
      <c r="AK81" s="256">
        <f t="shared" si="53"/>
        <v>2.2249999999999999E-2</v>
      </c>
      <c r="AL81" s="253">
        <v>42447</v>
      </c>
      <c r="AM81" s="256">
        <f t="shared" si="50"/>
        <v>1.2750000000000001E-2</v>
      </c>
      <c r="AO81" s="253">
        <v>42081</v>
      </c>
      <c r="AP81" s="256">
        <f t="shared" si="51"/>
        <v>3.95E-2</v>
      </c>
      <c r="AQ81" s="253">
        <v>42447</v>
      </c>
      <c r="AR81" s="256">
        <f t="shared" si="52"/>
        <v>1.175E-2</v>
      </c>
      <c r="BE81" s="4" t="s">
        <v>88</v>
      </c>
    </row>
    <row r="82" spans="4:57" hidden="1" x14ac:dyDescent="0.2">
      <c r="D82" s="14">
        <v>78</v>
      </c>
      <c r="E82" s="12">
        <v>41352</v>
      </c>
      <c r="F82" s="15">
        <f t="shared" si="44"/>
        <v>1.4375000000000002E-2</v>
      </c>
      <c r="H82" s="14">
        <v>78</v>
      </c>
      <c r="I82" s="12">
        <v>41717</v>
      </c>
      <c r="J82" s="15">
        <f t="shared" si="45"/>
        <v>1.3541666666666664E-2</v>
      </c>
      <c r="K82" s="4"/>
      <c r="L82" s="14">
        <v>78</v>
      </c>
      <c r="M82" s="12">
        <v>42082</v>
      </c>
      <c r="N82" s="15">
        <f t="shared" si="47"/>
        <v>1.1458333333333334E-2</v>
      </c>
      <c r="O82" s="141"/>
      <c r="P82" s="14">
        <v>78</v>
      </c>
      <c r="Q82" s="12">
        <v>41717</v>
      </c>
      <c r="R82" s="15">
        <f t="shared" si="46"/>
        <v>1.0625000000000001E-2</v>
      </c>
      <c r="S82" s="4"/>
      <c r="T82" s="14">
        <v>78</v>
      </c>
      <c r="U82" s="12">
        <v>42082</v>
      </c>
      <c r="V82" s="15">
        <f t="shared" si="48"/>
        <v>1.0625000000000001E-2</v>
      </c>
      <c r="AA82" s="14">
        <v>78</v>
      </c>
      <c r="AB82" s="12">
        <v>40986</v>
      </c>
      <c r="AC82" s="15">
        <f t="shared" si="49"/>
        <v>1.5208333333333332E-2</v>
      </c>
      <c r="AI82" s="255">
        <v>78</v>
      </c>
      <c r="AJ82" s="253">
        <v>42082</v>
      </c>
      <c r="AK82" s="256">
        <f t="shared" si="53"/>
        <v>2.2249999999999999E-2</v>
      </c>
      <c r="AL82" s="253">
        <v>42448</v>
      </c>
      <c r="AM82" s="256">
        <f t="shared" si="50"/>
        <v>1.2750000000000001E-2</v>
      </c>
      <c r="AO82" s="253">
        <v>42082</v>
      </c>
      <c r="AP82" s="256">
        <f t="shared" si="51"/>
        <v>3.95E-2</v>
      </c>
      <c r="AQ82" s="253">
        <v>42448</v>
      </c>
      <c r="AR82" s="256">
        <f t="shared" si="52"/>
        <v>1.175E-2</v>
      </c>
      <c r="BE82" s="4" t="s">
        <v>165</v>
      </c>
    </row>
    <row r="83" spans="4:57" hidden="1" x14ac:dyDescent="0.2">
      <c r="D83" s="14">
        <v>79</v>
      </c>
      <c r="E83" s="12">
        <v>41353</v>
      </c>
      <c r="F83" s="15">
        <f t="shared" si="44"/>
        <v>1.4375000000000002E-2</v>
      </c>
      <c r="H83" s="14">
        <v>79</v>
      </c>
      <c r="I83" s="12">
        <v>41718</v>
      </c>
      <c r="J83" s="15">
        <f t="shared" si="45"/>
        <v>1.3541666666666664E-2</v>
      </c>
      <c r="K83" s="4"/>
      <c r="L83" s="14">
        <v>79</v>
      </c>
      <c r="M83" s="12">
        <v>42083</v>
      </c>
      <c r="N83" s="15">
        <f t="shared" si="47"/>
        <v>1.1458333333333334E-2</v>
      </c>
      <c r="O83" s="141"/>
      <c r="P83" s="14">
        <v>79</v>
      </c>
      <c r="Q83" s="12">
        <v>41718</v>
      </c>
      <c r="R83" s="15">
        <f t="shared" si="46"/>
        <v>1.0625000000000001E-2</v>
      </c>
      <c r="S83" s="4"/>
      <c r="T83" s="14">
        <v>79</v>
      </c>
      <c r="U83" s="12">
        <v>42083</v>
      </c>
      <c r="V83" s="15">
        <f t="shared" si="48"/>
        <v>1.0625000000000001E-2</v>
      </c>
      <c r="AA83" s="14">
        <v>79</v>
      </c>
      <c r="AB83" s="12">
        <v>40987</v>
      </c>
      <c r="AC83" s="15">
        <f t="shared" si="49"/>
        <v>1.5208333333333332E-2</v>
      </c>
      <c r="AI83" s="255">
        <v>79</v>
      </c>
      <c r="AJ83" s="253">
        <v>42083</v>
      </c>
      <c r="AK83" s="256">
        <f t="shared" si="53"/>
        <v>2.2249999999999999E-2</v>
      </c>
      <c r="AL83" s="253">
        <v>42449</v>
      </c>
      <c r="AM83" s="256">
        <f t="shared" si="50"/>
        <v>1.2750000000000001E-2</v>
      </c>
      <c r="AO83" s="253">
        <v>42083</v>
      </c>
      <c r="AP83" s="256">
        <f t="shared" si="51"/>
        <v>3.95E-2</v>
      </c>
      <c r="AQ83" s="253">
        <v>42449</v>
      </c>
      <c r="AR83" s="256">
        <f t="shared" si="52"/>
        <v>1.175E-2</v>
      </c>
      <c r="BE83" s="4" t="s">
        <v>125</v>
      </c>
    </row>
    <row r="84" spans="4:57" hidden="1" x14ac:dyDescent="0.2">
      <c r="D84" s="14">
        <v>80</v>
      </c>
      <c r="E84" s="12">
        <v>41354</v>
      </c>
      <c r="F84" s="50">
        <f t="shared" ref="F84:F94" si="54">F$56+F$4/D$4/100</f>
        <v>1.7250000000000001E-2</v>
      </c>
      <c r="H84" s="14">
        <v>80</v>
      </c>
      <c r="I84" s="12">
        <v>41719</v>
      </c>
      <c r="J84" s="50">
        <f t="shared" ref="J84:J94" si="55">J$56+J$4/H$4/100</f>
        <v>1.6249999999999997E-2</v>
      </c>
      <c r="K84" s="4"/>
      <c r="L84" s="14">
        <v>80</v>
      </c>
      <c r="M84" s="12">
        <v>42084</v>
      </c>
      <c r="N84" s="50">
        <f>N$56+N$4/L$4/100</f>
        <v>1.375E-2</v>
      </c>
      <c r="O84" s="141"/>
      <c r="P84" s="14">
        <v>80</v>
      </c>
      <c r="Q84" s="12">
        <v>41719</v>
      </c>
      <c r="R84" s="50">
        <f t="shared" ref="R84:R94" si="56">R$56+R$4/P$4/100</f>
        <v>1.2750000000000001E-2</v>
      </c>
      <c r="S84" s="4"/>
      <c r="T84" s="14">
        <v>80</v>
      </c>
      <c r="U84" s="12">
        <v>42084</v>
      </c>
      <c r="V84" s="50">
        <f>V$56+V$4/T$4/100</f>
        <v>1.2750000000000001E-2</v>
      </c>
      <c r="AA84" s="51">
        <v>80</v>
      </c>
      <c r="AB84" s="12">
        <v>40988</v>
      </c>
      <c r="AC84" s="15">
        <f t="shared" si="49"/>
        <v>1.5208333333333332E-2</v>
      </c>
      <c r="AI84" s="255">
        <v>80</v>
      </c>
      <c r="AJ84" s="253">
        <v>42084</v>
      </c>
      <c r="AK84" s="256">
        <f t="shared" si="53"/>
        <v>2.2249999999999999E-2</v>
      </c>
      <c r="AL84" s="253">
        <v>42450</v>
      </c>
      <c r="AM84" s="256">
        <f t="shared" si="50"/>
        <v>1.2750000000000001E-2</v>
      </c>
      <c r="AO84" s="253">
        <v>42084</v>
      </c>
      <c r="AP84" s="256">
        <f t="shared" si="51"/>
        <v>3.95E-2</v>
      </c>
      <c r="AQ84" s="253">
        <v>42450</v>
      </c>
      <c r="AR84" s="256">
        <f t="shared" si="52"/>
        <v>1.175E-2</v>
      </c>
      <c r="BE84" s="4" t="s">
        <v>55</v>
      </c>
    </row>
    <row r="85" spans="4:57" hidden="1" x14ac:dyDescent="0.2">
      <c r="D85" s="14">
        <v>81</v>
      </c>
      <c r="E85" s="12">
        <v>41355</v>
      </c>
      <c r="F85" s="15">
        <f t="shared" si="54"/>
        <v>1.7250000000000001E-2</v>
      </c>
      <c r="H85" s="14">
        <v>81</v>
      </c>
      <c r="I85" s="12">
        <v>41720</v>
      </c>
      <c r="J85" s="15">
        <f t="shared" si="55"/>
        <v>1.6249999999999997E-2</v>
      </c>
      <c r="K85" s="4"/>
      <c r="L85" s="14">
        <v>81</v>
      </c>
      <c r="M85" s="12">
        <v>42085</v>
      </c>
      <c r="N85" s="15">
        <f t="shared" ref="N85:N94" si="57">N$56+N$4/L$4/100</f>
        <v>1.375E-2</v>
      </c>
      <c r="O85" s="141"/>
      <c r="P85" s="14">
        <v>81</v>
      </c>
      <c r="Q85" s="12">
        <v>41720</v>
      </c>
      <c r="R85" s="15">
        <f t="shared" si="56"/>
        <v>1.2750000000000001E-2</v>
      </c>
      <c r="S85" s="4"/>
      <c r="T85" s="14">
        <v>81</v>
      </c>
      <c r="U85" s="12">
        <v>42085</v>
      </c>
      <c r="V85" s="15">
        <f t="shared" ref="V85:V94" si="58">V$56+V$4/T$4/100</f>
        <v>1.2750000000000001E-2</v>
      </c>
      <c r="AA85" s="14">
        <v>81</v>
      </c>
      <c r="AB85" s="49">
        <v>40989</v>
      </c>
      <c r="AC85" s="50">
        <f t="shared" ref="AC85:AC95" si="59">AC$56+AC$4/AA$4/100</f>
        <v>1.8249999999999999E-2</v>
      </c>
      <c r="AI85" s="255">
        <v>81</v>
      </c>
      <c r="AJ85" s="253">
        <v>42085</v>
      </c>
      <c r="AK85" s="256">
        <f t="shared" si="53"/>
        <v>2.2249999999999999E-2</v>
      </c>
      <c r="AL85" s="253">
        <v>42451</v>
      </c>
      <c r="AM85" s="256">
        <f t="shared" si="50"/>
        <v>1.2750000000000001E-2</v>
      </c>
      <c r="AO85" s="253">
        <v>42085</v>
      </c>
      <c r="AP85" s="256">
        <f t="shared" si="51"/>
        <v>3.95E-2</v>
      </c>
      <c r="AQ85" s="253">
        <v>42451</v>
      </c>
      <c r="AR85" s="256">
        <f t="shared" si="52"/>
        <v>1.175E-2</v>
      </c>
      <c r="BE85" s="4" t="s">
        <v>42</v>
      </c>
    </row>
    <row r="86" spans="4:57" hidden="1" x14ac:dyDescent="0.2">
      <c r="D86" s="14">
        <v>82</v>
      </c>
      <c r="E86" s="12">
        <v>41356</v>
      </c>
      <c r="F86" s="15">
        <f t="shared" si="54"/>
        <v>1.7250000000000001E-2</v>
      </c>
      <c r="H86" s="14">
        <v>82</v>
      </c>
      <c r="I86" s="12">
        <v>41721</v>
      </c>
      <c r="J86" s="15">
        <f t="shared" si="55"/>
        <v>1.6249999999999997E-2</v>
      </c>
      <c r="K86" s="4"/>
      <c r="L86" s="14">
        <v>82</v>
      </c>
      <c r="M86" s="12">
        <v>42086</v>
      </c>
      <c r="N86" s="15">
        <f t="shared" si="57"/>
        <v>1.375E-2</v>
      </c>
      <c r="O86" s="141"/>
      <c r="P86" s="14">
        <v>82</v>
      </c>
      <c r="Q86" s="12">
        <v>41721</v>
      </c>
      <c r="R86" s="15">
        <f t="shared" si="56"/>
        <v>1.2750000000000001E-2</v>
      </c>
      <c r="S86" s="4"/>
      <c r="T86" s="14">
        <v>82</v>
      </c>
      <c r="U86" s="12">
        <v>42086</v>
      </c>
      <c r="V86" s="15">
        <f t="shared" si="58"/>
        <v>1.2750000000000001E-2</v>
      </c>
      <c r="AA86" s="14">
        <v>82</v>
      </c>
      <c r="AB86" s="12">
        <v>40990</v>
      </c>
      <c r="AC86" s="15">
        <f t="shared" si="59"/>
        <v>1.8249999999999999E-2</v>
      </c>
      <c r="AI86" s="255">
        <v>82</v>
      </c>
      <c r="AJ86" s="253">
        <v>42086</v>
      </c>
      <c r="AK86" s="256">
        <f t="shared" si="53"/>
        <v>2.2249999999999999E-2</v>
      </c>
      <c r="AL86" s="253">
        <v>42452</v>
      </c>
      <c r="AM86" s="256">
        <f t="shared" si="50"/>
        <v>1.2750000000000001E-2</v>
      </c>
      <c r="AO86" s="253">
        <v>42086</v>
      </c>
      <c r="AP86" s="256">
        <f t="shared" si="51"/>
        <v>3.95E-2</v>
      </c>
      <c r="AQ86" s="253">
        <v>42452</v>
      </c>
      <c r="AR86" s="256">
        <f t="shared" si="52"/>
        <v>1.175E-2</v>
      </c>
      <c r="BE86" s="4" t="s">
        <v>56</v>
      </c>
    </row>
    <row r="87" spans="4:57" hidden="1" x14ac:dyDescent="0.2">
      <c r="D87" s="14">
        <v>83</v>
      </c>
      <c r="E87" s="12">
        <v>41357</v>
      </c>
      <c r="F87" s="15">
        <f t="shared" si="54"/>
        <v>1.7250000000000001E-2</v>
      </c>
      <c r="H87" s="14">
        <v>83</v>
      </c>
      <c r="I87" s="12">
        <v>41722</v>
      </c>
      <c r="J87" s="15">
        <f t="shared" si="55"/>
        <v>1.6249999999999997E-2</v>
      </c>
      <c r="K87" s="4"/>
      <c r="L87" s="14">
        <v>83</v>
      </c>
      <c r="M87" s="12">
        <v>42087</v>
      </c>
      <c r="N87" s="15">
        <f t="shared" si="57"/>
        <v>1.375E-2</v>
      </c>
      <c r="O87" s="141"/>
      <c r="P87" s="14">
        <v>83</v>
      </c>
      <c r="Q87" s="12">
        <v>41722</v>
      </c>
      <c r="R87" s="15">
        <f t="shared" si="56"/>
        <v>1.2750000000000001E-2</v>
      </c>
      <c r="S87" s="4"/>
      <c r="T87" s="14">
        <v>83</v>
      </c>
      <c r="U87" s="12">
        <v>42087</v>
      </c>
      <c r="V87" s="15">
        <f t="shared" si="58"/>
        <v>1.2750000000000001E-2</v>
      </c>
      <c r="AA87" s="14">
        <v>83</v>
      </c>
      <c r="AB87" s="12">
        <v>40991</v>
      </c>
      <c r="AC87" s="15">
        <f t="shared" si="59"/>
        <v>1.8249999999999999E-2</v>
      </c>
      <c r="AI87" s="255">
        <v>83</v>
      </c>
      <c r="AJ87" s="253">
        <v>42087</v>
      </c>
      <c r="AK87" s="256">
        <f t="shared" si="53"/>
        <v>2.2249999999999999E-2</v>
      </c>
      <c r="AL87" s="253">
        <v>42453</v>
      </c>
      <c r="AM87" s="256">
        <f t="shared" si="50"/>
        <v>1.2750000000000001E-2</v>
      </c>
      <c r="AO87" s="253">
        <v>42087</v>
      </c>
      <c r="AP87" s="256">
        <f t="shared" si="51"/>
        <v>3.95E-2</v>
      </c>
      <c r="AQ87" s="253">
        <v>42453</v>
      </c>
      <c r="AR87" s="256">
        <f t="shared" si="52"/>
        <v>1.175E-2</v>
      </c>
      <c r="BE87" s="4" t="s">
        <v>109</v>
      </c>
    </row>
    <row r="88" spans="4:57" hidden="1" x14ac:dyDescent="0.2">
      <c r="D88" s="14">
        <v>84</v>
      </c>
      <c r="E88" s="12">
        <v>41358</v>
      </c>
      <c r="F88" s="15">
        <f t="shared" si="54"/>
        <v>1.7250000000000001E-2</v>
      </c>
      <c r="H88" s="14">
        <v>84</v>
      </c>
      <c r="I88" s="12">
        <v>41723</v>
      </c>
      <c r="J88" s="15">
        <f t="shared" si="55"/>
        <v>1.6249999999999997E-2</v>
      </c>
      <c r="K88" s="4"/>
      <c r="L88" s="14">
        <v>84</v>
      </c>
      <c r="M88" s="12">
        <v>42088</v>
      </c>
      <c r="N88" s="15">
        <f t="shared" si="57"/>
        <v>1.375E-2</v>
      </c>
      <c r="O88" s="141"/>
      <c r="P88" s="14">
        <v>84</v>
      </c>
      <c r="Q88" s="12">
        <v>41723</v>
      </c>
      <c r="R88" s="15">
        <f t="shared" si="56"/>
        <v>1.2750000000000001E-2</v>
      </c>
      <c r="S88" s="4"/>
      <c r="T88" s="14">
        <v>84</v>
      </c>
      <c r="U88" s="12">
        <v>42088</v>
      </c>
      <c r="V88" s="15">
        <f t="shared" si="58"/>
        <v>1.2750000000000001E-2</v>
      </c>
      <c r="AA88" s="14">
        <v>84</v>
      </c>
      <c r="AB88" s="12">
        <v>40992</v>
      </c>
      <c r="AC88" s="15">
        <f t="shared" si="59"/>
        <v>1.8249999999999999E-2</v>
      </c>
      <c r="AI88" s="255">
        <v>84</v>
      </c>
      <c r="AJ88" s="253">
        <v>42088</v>
      </c>
      <c r="AK88" s="256">
        <f t="shared" si="53"/>
        <v>2.2249999999999999E-2</v>
      </c>
      <c r="AL88" s="253">
        <v>42454</v>
      </c>
      <c r="AM88" s="256">
        <f t="shared" si="50"/>
        <v>1.2750000000000001E-2</v>
      </c>
      <c r="AO88" s="253">
        <v>42088</v>
      </c>
      <c r="AP88" s="256">
        <f t="shared" si="51"/>
        <v>3.95E-2</v>
      </c>
      <c r="AQ88" s="253">
        <v>42454</v>
      </c>
      <c r="AR88" s="256">
        <f t="shared" si="52"/>
        <v>1.175E-2</v>
      </c>
      <c r="BE88" s="4" t="s">
        <v>119</v>
      </c>
    </row>
    <row r="89" spans="4:57" hidden="1" x14ac:dyDescent="0.2">
      <c r="D89" s="14">
        <v>85</v>
      </c>
      <c r="E89" s="12">
        <v>41359</v>
      </c>
      <c r="F89" s="15">
        <f t="shared" si="54"/>
        <v>1.7250000000000001E-2</v>
      </c>
      <c r="H89" s="14">
        <v>85</v>
      </c>
      <c r="I89" s="12">
        <v>41724</v>
      </c>
      <c r="J89" s="15">
        <f t="shared" si="55"/>
        <v>1.6249999999999997E-2</v>
      </c>
      <c r="K89" s="4"/>
      <c r="L89" s="14">
        <v>85</v>
      </c>
      <c r="M89" s="12">
        <v>42089</v>
      </c>
      <c r="N89" s="15">
        <f t="shared" si="57"/>
        <v>1.375E-2</v>
      </c>
      <c r="O89" s="141"/>
      <c r="P89" s="14">
        <v>85</v>
      </c>
      <c r="Q89" s="12">
        <v>41724</v>
      </c>
      <c r="R89" s="15">
        <f t="shared" si="56"/>
        <v>1.2750000000000001E-2</v>
      </c>
      <c r="S89" s="4"/>
      <c r="T89" s="14">
        <v>85</v>
      </c>
      <c r="U89" s="12">
        <v>42089</v>
      </c>
      <c r="V89" s="15">
        <f t="shared" si="58"/>
        <v>1.2750000000000001E-2</v>
      </c>
      <c r="AA89" s="14">
        <v>85</v>
      </c>
      <c r="AB89" s="12">
        <v>40993</v>
      </c>
      <c r="AC89" s="15">
        <f t="shared" si="59"/>
        <v>1.8249999999999999E-2</v>
      </c>
      <c r="AI89" s="255">
        <v>85</v>
      </c>
      <c r="AJ89" s="253">
        <v>42089</v>
      </c>
      <c r="AK89" s="256">
        <f t="shared" si="53"/>
        <v>2.2249999999999999E-2</v>
      </c>
      <c r="AL89" s="253">
        <v>42455</v>
      </c>
      <c r="AM89" s="256">
        <f t="shared" si="50"/>
        <v>1.2750000000000001E-2</v>
      </c>
      <c r="AO89" s="253">
        <v>42089</v>
      </c>
      <c r="AP89" s="256">
        <f t="shared" si="51"/>
        <v>3.95E-2</v>
      </c>
      <c r="AQ89" s="253">
        <v>42455</v>
      </c>
      <c r="AR89" s="256">
        <f t="shared" si="52"/>
        <v>1.175E-2</v>
      </c>
      <c r="BE89" s="4" t="s">
        <v>26</v>
      </c>
    </row>
    <row r="90" spans="4:57" hidden="1" x14ac:dyDescent="0.2">
      <c r="D90" s="14">
        <v>86</v>
      </c>
      <c r="E90" s="12">
        <v>41360</v>
      </c>
      <c r="F90" s="15">
        <f t="shared" si="54"/>
        <v>1.7250000000000001E-2</v>
      </c>
      <c r="H90" s="14">
        <v>86</v>
      </c>
      <c r="I90" s="12">
        <v>41725</v>
      </c>
      <c r="J90" s="15">
        <f t="shared" si="55"/>
        <v>1.6249999999999997E-2</v>
      </c>
      <c r="K90" s="4"/>
      <c r="L90" s="14">
        <v>86</v>
      </c>
      <c r="M90" s="12">
        <v>42090</v>
      </c>
      <c r="N90" s="15">
        <f t="shared" si="57"/>
        <v>1.375E-2</v>
      </c>
      <c r="O90" s="141"/>
      <c r="P90" s="14">
        <v>86</v>
      </c>
      <c r="Q90" s="12">
        <v>41725</v>
      </c>
      <c r="R90" s="15">
        <f t="shared" si="56"/>
        <v>1.2750000000000001E-2</v>
      </c>
      <c r="S90" s="4"/>
      <c r="T90" s="14">
        <v>86</v>
      </c>
      <c r="U90" s="12">
        <v>42090</v>
      </c>
      <c r="V90" s="15">
        <f t="shared" si="58"/>
        <v>1.2750000000000001E-2</v>
      </c>
      <c r="AA90" s="14">
        <v>86</v>
      </c>
      <c r="AB90" s="12">
        <v>40994</v>
      </c>
      <c r="AC90" s="15">
        <f t="shared" si="59"/>
        <v>1.8249999999999999E-2</v>
      </c>
      <c r="AI90" s="255">
        <v>86</v>
      </c>
      <c r="AJ90" s="253">
        <v>42090</v>
      </c>
      <c r="AK90" s="256">
        <f t="shared" si="53"/>
        <v>2.2249999999999999E-2</v>
      </c>
      <c r="AL90" s="253">
        <v>42456</v>
      </c>
      <c r="AM90" s="256">
        <f t="shared" si="50"/>
        <v>1.2750000000000001E-2</v>
      </c>
      <c r="AO90" s="253">
        <v>42090</v>
      </c>
      <c r="AP90" s="256">
        <f t="shared" si="51"/>
        <v>3.95E-2</v>
      </c>
      <c r="AQ90" s="253">
        <v>42456</v>
      </c>
      <c r="AR90" s="256">
        <f t="shared" si="52"/>
        <v>1.175E-2</v>
      </c>
      <c r="BE90" s="4" t="s">
        <v>33</v>
      </c>
    </row>
    <row r="91" spans="4:57" hidden="1" x14ac:dyDescent="0.2">
      <c r="D91" s="14">
        <v>87</v>
      </c>
      <c r="E91" s="12">
        <v>41361</v>
      </c>
      <c r="F91" s="15">
        <f t="shared" si="54"/>
        <v>1.7250000000000001E-2</v>
      </c>
      <c r="H91" s="14">
        <v>87</v>
      </c>
      <c r="I91" s="12">
        <v>41726</v>
      </c>
      <c r="J91" s="15">
        <f t="shared" si="55"/>
        <v>1.6249999999999997E-2</v>
      </c>
      <c r="K91" s="4"/>
      <c r="L91" s="14">
        <v>87</v>
      </c>
      <c r="M91" s="12">
        <v>42091</v>
      </c>
      <c r="N91" s="15">
        <f t="shared" si="57"/>
        <v>1.375E-2</v>
      </c>
      <c r="O91" s="141"/>
      <c r="P91" s="14">
        <v>87</v>
      </c>
      <c r="Q91" s="12">
        <v>41726</v>
      </c>
      <c r="R91" s="15">
        <f t="shared" si="56"/>
        <v>1.2750000000000001E-2</v>
      </c>
      <c r="S91" s="4"/>
      <c r="T91" s="14">
        <v>87</v>
      </c>
      <c r="U91" s="12">
        <v>42091</v>
      </c>
      <c r="V91" s="15">
        <f t="shared" si="58"/>
        <v>1.2750000000000001E-2</v>
      </c>
      <c r="AA91" s="14">
        <v>87</v>
      </c>
      <c r="AB91" s="12">
        <v>40995</v>
      </c>
      <c r="AC91" s="15">
        <f t="shared" si="59"/>
        <v>1.8249999999999999E-2</v>
      </c>
      <c r="AI91" s="255">
        <v>87</v>
      </c>
      <c r="AJ91" s="253">
        <v>42091</v>
      </c>
      <c r="AK91" s="256">
        <f t="shared" si="53"/>
        <v>2.2249999999999999E-2</v>
      </c>
      <c r="AL91" s="253">
        <v>42457</v>
      </c>
      <c r="AM91" s="256">
        <f t="shared" si="50"/>
        <v>1.2750000000000001E-2</v>
      </c>
      <c r="AO91" s="253">
        <v>42091</v>
      </c>
      <c r="AP91" s="256">
        <f t="shared" si="51"/>
        <v>3.95E-2</v>
      </c>
      <c r="AQ91" s="253">
        <v>42457</v>
      </c>
      <c r="AR91" s="256">
        <f t="shared" si="52"/>
        <v>1.175E-2</v>
      </c>
      <c r="BE91" s="4" t="s">
        <v>131</v>
      </c>
    </row>
    <row r="92" spans="4:57" hidden="1" x14ac:dyDescent="0.2">
      <c r="D92" s="14">
        <v>88</v>
      </c>
      <c r="E92" s="12">
        <v>41362</v>
      </c>
      <c r="F92" s="15">
        <f t="shared" si="54"/>
        <v>1.7250000000000001E-2</v>
      </c>
      <c r="H92" s="14">
        <v>88</v>
      </c>
      <c r="I92" s="12">
        <v>41727</v>
      </c>
      <c r="J92" s="15">
        <f t="shared" si="55"/>
        <v>1.6249999999999997E-2</v>
      </c>
      <c r="K92" s="4"/>
      <c r="L92" s="14">
        <v>88</v>
      </c>
      <c r="M92" s="12">
        <v>42092</v>
      </c>
      <c r="N92" s="15">
        <f t="shared" si="57"/>
        <v>1.375E-2</v>
      </c>
      <c r="O92" s="141"/>
      <c r="P92" s="14">
        <v>88</v>
      </c>
      <c r="Q92" s="12">
        <v>41727</v>
      </c>
      <c r="R92" s="15">
        <f t="shared" si="56"/>
        <v>1.2750000000000001E-2</v>
      </c>
      <c r="S92" s="4"/>
      <c r="T92" s="14">
        <v>88</v>
      </c>
      <c r="U92" s="12">
        <v>42092</v>
      </c>
      <c r="V92" s="15">
        <f t="shared" si="58"/>
        <v>1.2750000000000001E-2</v>
      </c>
      <c r="AA92" s="14">
        <v>88</v>
      </c>
      <c r="AB92" s="12">
        <v>40996</v>
      </c>
      <c r="AC92" s="15">
        <f t="shared" si="59"/>
        <v>1.8249999999999999E-2</v>
      </c>
      <c r="AI92" s="255">
        <v>88</v>
      </c>
      <c r="AJ92" s="253">
        <v>42092</v>
      </c>
      <c r="AK92" s="256">
        <f t="shared" si="53"/>
        <v>2.2249999999999999E-2</v>
      </c>
      <c r="AL92" s="253">
        <v>42458</v>
      </c>
      <c r="AM92" s="256">
        <f t="shared" si="50"/>
        <v>1.2750000000000001E-2</v>
      </c>
      <c r="AO92" s="253">
        <v>42092</v>
      </c>
      <c r="AP92" s="256">
        <f t="shared" si="51"/>
        <v>3.95E-2</v>
      </c>
      <c r="AQ92" s="253">
        <v>42458</v>
      </c>
      <c r="AR92" s="256">
        <f t="shared" si="52"/>
        <v>1.175E-2</v>
      </c>
      <c r="BE92" s="4" t="s">
        <v>43</v>
      </c>
    </row>
    <row r="93" spans="4:57" hidden="1" x14ac:dyDescent="0.2">
      <c r="D93" s="14">
        <v>89</v>
      </c>
      <c r="E93" s="12">
        <v>41363</v>
      </c>
      <c r="F93" s="15">
        <f t="shared" si="54"/>
        <v>1.7250000000000001E-2</v>
      </c>
      <c r="H93" s="14">
        <v>89</v>
      </c>
      <c r="I93" s="12">
        <v>41728</v>
      </c>
      <c r="J93" s="15">
        <f t="shared" si="55"/>
        <v>1.6249999999999997E-2</v>
      </c>
      <c r="K93" s="4"/>
      <c r="L93" s="14">
        <v>89</v>
      </c>
      <c r="M93" s="12">
        <v>42093</v>
      </c>
      <c r="N93" s="15">
        <f t="shared" si="57"/>
        <v>1.375E-2</v>
      </c>
      <c r="O93" s="141"/>
      <c r="P93" s="14">
        <v>89</v>
      </c>
      <c r="Q93" s="12">
        <v>41728</v>
      </c>
      <c r="R93" s="15">
        <f t="shared" si="56"/>
        <v>1.2750000000000001E-2</v>
      </c>
      <c r="S93" s="4"/>
      <c r="T93" s="14">
        <v>89</v>
      </c>
      <c r="U93" s="12">
        <v>42093</v>
      </c>
      <c r="V93" s="15">
        <f t="shared" si="58"/>
        <v>1.2750000000000001E-2</v>
      </c>
      <c r="AA93" s="14">
        <v>89</v>
      </c>
      <c r="AB93" s="12">
        <v>40997</v>
      </c>
      <c r="AC93" s="15">
        <f t="shared" si="59"/>
        <v>1.8249999999999999E-2</v>
      </c>
      <c r="AI93" s="255">
        <v>89</v>
      </c>
      <c r="AJ93" s="253">
        <v>42093</v>
      </c>
      <c r="AK93" s="256">
        <f t="shared" si="53"/>
        <v>2.2249999999999999E-2</v>
      </c>
      <c r="AL93" s="253">
        <v>42459</v>
      </c>
      <c r="AM93" s="256">
        <f t="shared" si="50"/>
        <v>1.2750000000000001E-2</v>
      </c>
      <c r="AO93" s="253">
        <v>42093</v>
      </c>
      <c r="AP93" s="256">
        <f t="shared" si="51"/>
        <v>3.95E-2</v>
      </c>
      <c r="AQ93" s="253">
        <v>42459</v>
      </c>
      <c r="AR93" s="256">
        <f t="shared" si="52"/>
        <v>1.175E-2</v>
      </c>
      <c r="BE93" s="4" t="s">
        <v>85</v>
      </c>
    </row>
    <row r="94" spans="4:57" hidden="1" x14ac:dyDescent="0.2">
      <c r="D94" s="14">
        <v>90</v>
      </c>
      <c r="E94" s="12">
        <v>41364</v>
      </c>
      <c r="F94" s="15">
        <f t="shared" si="54"/>
        <v>1.7250000000000001E-2</v>
      </c>
      <c r="H94" s="14">
        <v>90</v>
      </c>
      <c r="I94" s="12">
        <v>41729</v>
      </c>
      <c r="J94" s="15">
        <f t="shared" si="55"/>
        <v>1.6249999999999997E-2</v>
      </c>
      <c r="K94" s="4"/>
      <c r="L94" s="14">
        <v>90</v>
      </c>
      <c r="M94" s="12">
        <v>42094</v>
      </c>
      <c r="N94" s="15">
        <f t="shared" si="57"/>
        <v>1.375E-2</v>
      </c>
      <c r="O94" s="141"/>
      <c r="P94" s="14">
        <v>90</v>
      </c>
      <c r="Q94" s="12">
        <v>41729</v>
      </c>
      <c r="R94" s="15">
        <f t="shared" si="56"/>
        <v>1.2750000000000001E-2</v>
      </c>
      <c r="S94" s="4"/>
      <c r="T94" s="14">
        <v>90</v>
      </c>
      <c r="U94" s="12">
        <v>42094</v>
      </c>
      <c r="V94" s="15">
        <f t="shared" si="58"/>
        <v>1.2750000000000001E-2</v>
      </c>
      <c r="AA94" s="14">
        <v>90</v>
      </c>
      <c r="AB94" s="12">
        <v>40998</v>
      </c>
      <c r="AC94" s="15">
        <f t="shared" si="59"/>
        <v>1.8249999999999999E-2</v>
      </c>
      <c r="AI94" s="255">
        <v>90</v>
      </c>
      <c r="AJ94" s="253">
        <v>42094</v>
      </c>
      <c r="AK94" s="256">
        <f t="shared" si="53"/>
        <v>2.2249999999999999E-2</v>
      </c>
      <c r="AL94" s="253">
        <v>42460</v>
      </c>
      <c r="AM94" s="256">
        <f t="shared" si="50"/>
        <v>1.2750000000000001E-2</v>
      </c>
      <c r="AO94" s="253">
        <v>42094</v>
      </c>
      <c r="AP94" s="256">
        <f t="shared" si="51"/>
        <v>3.95E-2</v>
      </c>
      <c r="AQ94" s="253">
        <v>42460</v>
      </c>
      <c r="AR94" s="256">
        <f t="shared" si="52"/>
        <v>1.175E-2</v>
      </c>
      <c r="BE94" s="4" t="s">
        <v>50</v>
      </c>
    </row>
    <row r="95" spans="4:57" hidden="1" x14ac:dyDescent="0.2">
      <c r="D95" s="14">
        <v>91</v>
      </c>
      <c r="E95" s="12">
        <v>41365</v>
      </c>
      <c r="F95" s="50">
        <f t="shared" ref="F95:F114" si="60">F$64+F$4/D$4/100</f>
        <v>2.0125000000000004E-2</v>
      </c>
      <c r="H95" s="14">
        <v>91</v>
      </c>
      <c r="I95" s="12">
        <v>41730</v>
      </c>
      <c r="J95" s="50">
        <f t="shared" ref="J95:J114" si="61">J$64+J$4/H$4/100</f>
        <v>1.8958333333333331E-2</v>
      </c>
      <c r="K95" s="4"/>
      <c r="L95" s="14">
        <v>91</v>
      </c>
      <c r="M95" s="12">
        <v>42095</v>
      </c>
      <c r="N95" s="50">
        <f>N$64+N$4/L$4/100</f>
        <v>1.6041666666666669E-2</v>
      </c>
      <c r="O95" s="141"/>
      <c r="P95" s="14">
        <v>91</v>
      </c>
      <c r="Q95" s="12">
        <v>41730</v>
      </c>
      <c r="R95" s="50">
        <f t="shared" ref="R95:R114" si="62">R$64+R$4/P$4/100</f>
        <v>1.4875000000000001E-2</v>
      </c>
      <c r="S95" s="4"/>
      <c r="T95" s="14">
        <v>91</v>
      </c>
      <c r="U95" s="12">
        <v>42095</v>
      </c>
      <c r="V95" s="50">
        <f>V$64+V$4/T$4/100</f>
        <v>1.4875000000000001E-2</v>
      </c>
      <c r="AA95" s="14">
        <v>91</v>
      </c>
      <c r="AB95" s="12">
        <v>40999</v>
      </c>
      <c r="AC95" s="15">
        <f t="shared" si="59"/>
        <v>1.8249999999999999E-2</v>
      </c>
      <c r="AI95" s="255">
        <v>91</v>
      </c>
      <c r="AJ95" s="258">
        <v>42095</v>
      </c>
      <c r="AK95" s="256">
        <f t="shared" si="53"/>
        <v>2.2249999999999999E-2</v>
      </c>
      <c r="AL95" s="253">
        <v>42461</v>
      </c>
      <c r="AM95" s="256">
        <f t="shared" si="50"/>
        <v>1.2750000000000001E-2</v>
      </c>
      <c r="AO95" s="258">
        <v>42095</v>
      </c>
      <c r="AP95" s="256">
        <f t="shared" si="51"/>
        <v>3.95E-2</v>
      </c>
      <c r="AQ95" s="253">
        <v>42461</v>
      </c>
      <c r="AR95" s="256">
        <f t="shared" si="52"/>
        <v>1.175E-2</v>
      </c>
      <c r="BE95" s="4" t="s">
        <v>128</v>
      </c>
    </row>
    <row r="96" spans="4:57" hidden="1" x14ac:dyDescent="0.2">
      <c r="D96" s="14">
        <v>92</v>
      </c>
      <c r="E96" s="12">
        <v>41366</v>
      </c>
      <c r="F96" s="15">
        <f t="shared" si="60"/>
        <v>2.0125000000000004E-2</v>
      </c>
      <c r="H96" s="14">
        <v>92</v>
      </c>
      <c r="I96" s="12">
        <v>41731</v>
      </c>
      <c r="J96" s="15">
        <f t="shared" si="61"/>
        <v>1.8958333333333331E-2</v>
      </c>
      <c r="K96" s="4"/>
      <c r="L96" s="14">
        <v>92</v>
      </c>
      <c r="M96" s="12">
        <v>42096</v>
      </c>
      <c r="N96" s="15">
        <f t="shared" ref="N96:N114" si="63">N$64+N$4/L$4/100</f>
        <v>1.6041666666666669E-2</v>
      </c>
      <c r="O96" s="141"/>
      <c r="P96" s="14">
        <v>92</v>
      </c>
      <c r="Q96" s="12">
        <v>41731</v>
      </c>
      <c r="R96" s="15">
        <f t="shared" si="62"/>
        <v>1.4875000000000001E-2</v>
      </c>
      <c r="S96" s="4"/>
      <c r="T96" s="14">
        <v>92</v>
      </c>
      <c r="U96" s="12">
        <v>42096</v>
      </c>
      <c r="V96" s="15">
        <f t="shared" ref="V96:V114" si="64">V$64+V$4/T$4/100</f>
        <v>1.4875000000000001E-2</v>
      </c>
      <c r="AA96" s="51">
        <v>92</v>
      </c>
      <c r="AB96" s="49">
        <v>41000</v>
      </c>
      <c r="AC96" s="50">
        <f>AC$65+AC$4/AA$4/100</f>
        <v>2.1291666666666667E-2</v>
      </c>
      <c r="AI96" s="255">
        <v>92</v>
      </c>
      <c r="AJ96" s="253">
        <v>42096</v>
      </c>
      <c r="AK96" s="256">
        <f t="shared" si="53"/>
        <v>2.2249999999999999E-2</v>
      </c>
      <c r="AL96" s="253">
        <v>42462</v>
      </c>
      <c r="AM96" s="256">
        <f t="shared" si="50"/>
        <v>1.2750000000000001E-2</v>
      </c>
      <c r="AO96" s="253">
        <v>42096</v>
      </c>
      <c r="AP96" s="256">
        <f t="shared" si="51"/>
        <v>3.95E-2</v>
      </c>
      <c r="AQ96" s="253">
        <v>42462</v>
      </c>
      <c r="AR96" s="256">
        <f t="shared" si="52"/>
        <v>1.175E-2</v>
      </c>
      <c r="BE96" s="4" t="s">
        <v>127</v>
      </c>
    </row>
    <row r="97" spans="4:57" hidden="1" x14ac:dyDescent="0.2">
      <c r="D97" s="14">
        <v>93</v>
      </c>
      <c r="E97" s="12">
        <v>41367</v>
      </c>
      <c r="F97" s="15">
        <f t="shared" si="60"/>
        <v>2.0125000000000004E-2</v>
      </c>
      <c r="H97" s="14">
        <v>93</v>
      </c>
      <c r="I97" s="12">
        <v>41732</v>
      </c>
      <c r="J97" s="15">
        <f t="shared" si="61"/>
        <v>1.8958333333333331E-2</v>
      </c>
      <c r="K97" s="4"/>
      <c r="L97" s="14">
        <v>93</v>
      </c>
      <c r="M97" s="12">
        <v>42097</v>
      </c>
      <c r="N97" s="15">
        <f t="shared" si="63"/>
        <v>1.6041666666666669E-2</v>
      </c>
      <c r="O97" s="141"/>
      <c r="P97" s="14">
        <v>93</v>
      </c>
      <c r="Q97" s="12">
        <v>41732</v>
      </c>
      <c r="R97" s="15">
        <f t="shared" si="62"/>
        <v>1.4875000000000001E-2</v>
      </c>
      <c r="S97" s="4"/>
      <c r="T97" s="14">
        <v>93</v>
      </c>
      <c r="U97" s="12">
        <v>42097</v>
      </c>
      <c r="V97" s="15">
        <f t="shared" si="64"/>
        <v>1.4875000000000001E-2</v>
      </c>
      <c r="AA97" s="14">
        <v>93</v>
      </c>
      <c r="AB97" s="12">
        <v>41001</v>
      </c>
      <c r="AC97" s="15">
        <f t="shared" ref="AC97:AC114" si="65">AC$65+AC$4/AA$4/100</f>
        <v>2.1291666666666667E-2</v>
      </c>
      <c r="AI97" s="255">
        <v>93</v>
      </c>
      <c r="AJ97" s="253">
        <v>42097</v>
      </c>
      <c r="AK97" s="256">
        <f t="shared" si="53"/>
        <v>2.2249999999999999E-2</v>
      </c>
      <c r="AL97" s="253">
        <v>42463</v>
      </c>
      <c r="AM97" s="256">
        <f t="shared" si="50"/>
        <v>1.2750000000000001E-2</v>
      </c>
      <c r="AO97" s="253">
        <v>42097</v>
      </c>
      <c r="AP97" s="256">
        <f t="shared" si="51"/>
        <v>3.95E-2</v>
      </c>
      <c r="AQ97" s="253">
        <v>42463</v>
      </c>
      <c r="AR97" s="256">
        <f t="shared" si="52"/>
        <v>1.175E-2</v>
      </c>
      <c r="BE97" s="4" t="s">
        <v>92</v>
      </c>
    </row>
    <row r="98" spans="4:57" hidden="1" x14ac:dyDescent="0.2">
      <c r="D98" s="14">
        <v>94</v>
      </c>
      <c r="E98" s="12">
        <v>41368</v>
      </c>
      <c r="F98" s="15">
        <f t="shared" si="60"/>
        <v>2.0125000000000004E-2</v>
      </c>
      <c r="H98" s="14">
        <v>94</v>
      </c>
      <c r="I98" s="12">
        <v>41733</v>
      </c>
      <c r="J98" s="15">
        <f t="shared" si="61"/>
        <v>1.8958333333333331E-2</v>
      </c>
      <c r="K98" s="4"/>
      <c r="L98" s="14">
        <v>94</v>
      </c>
      <c r="M98" s="12">
        <v>42098</v>
      </c>
      <c r="N98" s="15">
        <f t="shared" si="63"/>
        <v>1.6041666666666669E-2</v>
      </c>
      <c r="O98" s="141"/>
      <c r="P98" s="14">
        <v>94</v>
      </c>
      <c r="Q98" s="12">
        <v>41733</v>
      </c>
      <c r="R98" s="15">
        <f t="shared" si="62"/>
        <v>1.4875000000000001E-2</v>
      </c>
      <c r="S98" s="4"/>
      <c r="T98" s="14">
        <v>94</v>
      </c>
      <c r="U98" s="12">
        <v>42098</v>
      </c>
      <c r="V98" s="15">
        <f t="shared" si="64"/>
        <v>1.4875000000000001E-2</v>
      </c>
      <c r="AA98" s="14">
        <v>94</v>
      </c>
      <c r="AB98" s="12">
        <v>41002</v>
      </c>
      <c r="AC98" s="15">
        <f t="shared" si="65"/>
        <v>2.1291666666666667E-2</v>
      </c>
      <c r="AI98" s="255">
        <v>94</v>
      </c>
      <c r="AJ98" s="253">
        <v>42098</v>
      </c>
      <c r="AK98" s="256">
        <f t="shared" si="53"/>
        <v>2.2249999999999999E-2</v>
      </c>
      <c r="AL98" s="253">
        <v>42464</v>
      </c>
      <c r="AM98" s="256">
        <f t="shared" si="50"/>
        <v>1.2750000000000001E-2</v>
      </c>
      <c r="AO98" s="253">
        <v>42098</v>
      </c>
      <c r="AP98" s="256">
        <f t="shared" si="51"/>
        <v>3.95E-2</v>
      </c>
      <c r="AQ98" s="253">
        <v>42464</v>
      </c>
      <c r="AR98" s="256">
        <f t="shared" si="52"/>
        <v>1.175E-2</v>
      </c>
      <c r="BE98" s="4" t="s">
        <v>5</v>
      </c>
    </row>
    <row r="99" spans="4:57" hidden="1" x14ac:dyDescent="0.2">
      <c r="D99" s="14">
        <v>95</v>
      </c>
      <c r="E99" s="12">
        <v>41369</v>
      </c>
      <c r="F99" s="15">
        <f t="shared" si="60"/>
        <v>2.0125000000000004E-2</v>
      </c>
      <c r="H99" s="14">
        <v>95</v>
      </c>
      <c r="I99" s="12">
        <v>41734</v>
      </c>
      <c r="J99" s="15">
        <f t="shared" si="61"/>
        <v>1.8958333333333331E-2</v>
      </c>
      <c r="K99" s="4"/>
      <c r="L99" s="14">
        <v>95</v>
      </c>
      <c r="M99" s="12">
        <v>42099</v>
      </c>
      <c r="N99" s="15">
        <f t="shared" si="63"/>
        <v>1.6041666666666669E-2</v>
      </c>
      <c r="O99" s="141"/>
      <c r="P99" s="14">
        <v>95</v>
      </c>
      <c r="Q99" s="12">
        <v>41734</v>
      </c>
      <c r="R99" s="15">
        <f t="shared" si="62"/>
        <v>1.4875000000000001E-2</v>
      </c>
      <c r="S99" s="4"/>
      <c r="T99" s="14">
        <v>95</v>
      </c>
      <c r="U99" s="12">
        <v>42099</v>
      </c>
      <c r="V99" s="15">
        <f t="shared" si="64"/>
        <v>1.4875000000000001E-2</v>
      </c>
      <c r="AA99" s="14">
        <v>95</v>
      </c>
      <c r="AB99" s="12">
        <v>41003</v>
      </c>
      <c r="AC99" s="15">
        <f t="shared" si="65"/>
        <v>2.1291666666666667E-2</v>
      </c>
      <c r="AI99" s="255">
        <v>95</v>
      </c>
      <c r="AJ99" s="253">
        <v>42099</v>
      </c>
      <c r="AK99" s="256">
        <f t="shared" si="53"/>
        <v>2.2249999999999999E-2</v>
      </c>
      <c r="AL99" s="253">
        <v>42465</v>
      </c>
      <c r="AM99" s="256">
        <f t="shared" si="50"/>
        <v>1.2750000000000001E-2</v>
      </c>
      <c r="AO99" s="253">
        <v>42099</v>
      </c>
      <c r="AP99" s="256">
        <f t="shared" si="51"/>
        <v>3.95E-2</v>
      </c>
      <c r="AQ99" s="253">
        <v>42465</v>
      </c>
      <c r="AR99" s="256">
        <f t="shared" si="52"/>
        <v>1.175E-2</v>
      </c>
      <c r="BE99" s="4" t="s">
        <v>60</v>
      </c>
    </row>
    <row r="100" spans="4:57" hidden="1" x14ac:dyDescent="0.2">
      <c r="D100" s="14">
        <v>96</v>
      </c>
      <c r="E100" s="12">
        <v>41370</v>
      </c>
      <c r="F100" s="15">
        <f t="shared" si="60"/>
        <v>2.0125000000000004E-2</v>
      </c>
      <c r="H100" s="14">
        <v>96</v>
      </c>
      <c r="I100" s="12">
        <v>41735</v>
      </c>
      <c r="J100" s="15">
        <f t="shared" si="61"/>
        <v>1.8958333333333331E-2</v>
      </c>
      <c r="K100" s="4"/>
      <c r="L100" s="14">
        <v>96</v>
      </c>
      <c r="M100" s="12">
        <v>42100</v>
      </c>
      <c r="N100" s="15">
        <f t="shared" si="63"/>
        <v>1.6041666666666669E-2</v>
      </c>
      <c r="O100" s="141"/>
      <c r="P100" s="14">
        <v>96</v>
      </c>
      <c r="Q100" s="12">
        <v>41735</v>
      </c>
      <c r="R100" s="15">
        <f t="shared" si="62"/>
        <v>1.4875000000000001E-2</v>
      </c>
      <c r="S100" s="4"/>
      <c r="T100" s="14">
        <v>96</v>
      </c>
      <c r="U100" s="12">
        <v>42100</v>
      </c>
      <c r="V100" s="15">
        <f t="shared" si="64"/>
        <v>1.4875000000000001E-2</v>
      </c>
      <c r="AA100" s="14">
        <v>96</v>
      </c>
      <c r="AB100" s="12">
        <v>41004</v>
      </c>
      <c r="AC100" s="15">
        <f t="shared" si="65"/>
        <v>2.1291666666666667E-2</v>
      </c>
      <c r="AI100" s="255">
        <v>96</v>
      </c>
      <c r="AJ100" s="253">
        <v>42100</v>
      </c>
      <c r="AK100" s="259">
        <f>AK$99+AK$4/AI$4/100</f>
        <v>2.9666666666666668E-2</v>
      </c>
      <c r="AL100" s="253">
        <v>42466</v>
      </c>
      <c r="AM100" s="259">
        <f t="shared" ref="AM100:AM129" si="66">AM$99+AM$4/AI$4/100</f>
        <v>1.7000000000000001E-2</v>
      </c>
      <c r="AO100" s="253">
        <v>42100</v>
      </c>
      <c r="AP100" s="259">
        <f t="shared" ref="AP100:AP129" si="67">AP$99+AP$4/$AI$4/100</f>
        <v>5.2666666666666667E-2</v>
      </c>
      <c r="AQ100" s="253">
        <v>42466</v>
      </c>
      <c r="AR100" s="259">
        <f t="shared" ref="AR100:AR129" si="68">AR$99+AR$4/$AI$4/100</f>
        <v>1.5666666666666666E-2</v>
      </c>
      <c r="BE100" s="4" t="s">
        <v>130</v>
      </c>
    </row>
    <row r="101" spans="4:57" hidden="1" x14ac:dyDescent="0.2">
      <c r="D101" s="14">
        <v>97</v>
      </c>
      <c r="E101" s="12">
        <v>41371</v>
      </c>
      <c r="F101" s="15">
        <f t="shared" si="60"/>
        <v>2.0125000000000004E-2</v>
      </c>
      <c r="H101" s="14">
        <v>97</v>
      </c>
      <c r="I101" s="12">
        <v>41736</v>
      </c>
      <c r="J101" s="15">
        <f t="shared" si="61"/>
        <v>1.8958333333333331E-2</v>
      </c>
      <c r="K101" s="4"/>
      <c r="L101" s="14">
        <v>97</v>
      </c>
      <c r="M101" s="12">
        <v>42101</v>
      </c>
      <c r="N101" s="15">
        <f t="shared" si="63"/>
        <v>1.6041666666666669E-2</v>
      </c>
      <c r="O101" s="141"/>
      <c r="P101" s="14">
        <v>97</v>
      </c>
      <c r="Q101" s="12">
        <v>41736</v>
      </c>
      <c r="R101" s="15">
        <f t="shared" si="62"/>
        <v>1.4875000000000001E-2</v>
      </c>
      <c r="S101" s="4"/>
      <c r="T101" s="14">
        <v>97</v>
      </c>
      <c r="U101" s="12">
        <v>42101</v>
      </c>
      <c r="V101" s="15">
        <f t="shared" si="64"/>
        <v>1.4875000000000001E-2</v>
      </c>
      <c r="AA101" s="14">
        <v>97</v>
      </c>
      <c r="AB101" s="12">
        <v>41005</v>
      </c>
      <c r="AC101" s="15">
        <f t="shared" si="65"/>
        <v>2.1291666666666667E-2</v>
      </c>
      <c r="AI101" s="255">
        <v>97</v>
      </c>
      <c r="AJ101" s="253">
        <v>42101</v>
      </c>
      <c r="AK101" s="256">
        <f t="shared" ref="AK101:AK129" si="69">AK$99+AK$4/AI$4/100</f>
        <v>2.9666666666666668E-2</v>
      </c>
      <c r="AL101" s="253">
        <v>42467</v>
      </c>
      <c r="AM101" s="256">
        <f t="shared" si="66"/>
        <v>1.7000000000000001E-2</v>
      </c>
      <c r="AO101" s="253">
        <v>42101</v>
      </c>
      <c r="AP101" s="256">
        <f t="shared" si="67"/>
        <v>5.2666666666666667E-2</v>
      </c>
      <c r="AQ101" s="253">
        <v>42467</v>
      </c>
      <c r="AR101" s="256">
        <f t="shared" si="68"/>
        <v>1.5666666666666666E-2</v>
      </c>
      <c r="BE101" s="4" t="s">
        <v>53</v>
      </c>
    </row>
    <row r="102" spans="4:57" hidden="1" x14ac:dyDescent="0.2">
      <c r="D102" s="14">
        <v>98</v>
      </c>
      <c r="E102" s="12">
        <v>41372</v>
      </c>
      <c r="F102" s="15">
        <f t="shared" si="60"/>
        <v>2.0125000000000004E-2</v>
      </c>
      <c r="H102" s="14">
        <v>98</v>
      </c>
      <c r="I102" s="12">
        <v>41737</v>
      </c>
      <c r="J102" s="15">
        <f t="shared" si="61"/>
        <v>1.8958333333333331E-2</v>
      </c>
      <c r="K102" s="4"/>
      <c r="L102" s="14">
        <v>98</v>
      </c>
      <c r="M102" s="12">
        <v>42102</v>
      </c>
      <c r="N102" s="15">
        <f t="shared" si="63"/>
        <v>1.6041666666666669E-2</v>
      </c>
      <c r="O102" s="141"/>
      <c r="P102" s="14">
        <v>98</v>
      </c>
      <c r="Q102" s="12">
        <v>41737</v>
      </c>
      <c r="R102" s="15">
        <f t="shared" si="62"/>
        <v>1.4875000000000001E-2</v>
      </c>
      <c r="S102" s="4"/>
      <c r="T102" s="14">
        <v>98</v>
      </c>
      <c r="U102" s="12">
        <v>42102</v>
      </c>
      <c r="V102" s="15">
        <f t="shared" si="64"/>
        <v>1.4875000000000001E-2</v>
      </c>
      <c r="AA102" s="14">
        <v>98</v>
      </c>
      <c r="AB102" s="12">
        <v>41006</v>
      </c>
      <c r="AC102" s="15">
        <f t="shared" si="65"/>
        <v>2.1291666666666667E-2</v>
      </c>
      <c r="AI102" s="255">
        <v>98</v>
      </c>
      <c r="AJ102" s="253">
        <v>42102</v>
      </c>
      <c r="AK102" s="256">
        <f t="shared" si="69"/>
        <v>2.9666666666666668E-2</v>
      </c>
      <c r="AL102" s="253">
        <v>42468</v>
      </c>
      <c r="AM102" s="256">
        <f t="shared" si="66"/>
        <v>1.7000000000000001E-2</v>
      </c>
      <c r="AO102" s="253">
        <v>42102</v>
      </c>
      <c r="AP102" s="256">
        <f t="shared" si="67"/>
        <v>5.2666666666666667E-2</v>
      </c>
      <c r="AQ102" s="253">
        <v>42468</v>
      </c>
      <c r="AR102" s="256">
        <f t="shared" si="68"/>
        <v>1.5666666666666666E-2</v>
      </c>
      <c r="BE102" s="4" t="s">
        <v>27</v>
      </c>
    </row>
    <row r="103" spans="4:57" hidden="1" x14ac:dyDescent="0.2">
      <c r="D103" s="14">
        <v>99</v>
      </c>
      <c r="E103" s="12">
        <v>41373</v>
      </c>
      <c r="F103" s="15">
        <f t="shared" si="60"/>
        <v>2.0125000000000004E-2</v>
      </c>
      <c r="H103" s="14">
        <v>99</v>
      </c>
      <c r="I103" s="12">
        <v>41738</v>
      </c>
      <c r="J103" s="15">
        <f t="shared" si="61"/>
        <v>1.8958333333333331E-2</v>
      </c>
      <c r="K103" s="4"/>
      <c r="L103" s="14">
        <v>99</v>
      </c>
      <c r="M103" s="12">
        <v>42103</v>
      </c>
      <c r="N103" s="15">
        <f t="shared" si="63"/>
        <v>1.6041666666666669E-2</v>
      </c>
      <c r="O103" s="141"/>
      <c r="P103" s="14">
        <v>99</v>
      </c>
      <c r="Q103" s="12">
        <v>41738</v>
      </c>
      <c r="R103" s="15">
        <f t="shared" si="62"/>
        <v>1.4875000000000001E-2</v>
      </c>
      <c r="S103" s="4"/>
      <c r="T103" s="14">
        <v>99</v>
      </c>
      <c r="U103" s="12">
        <v>42103</v>
      </c>
      <c r="V103" s="15">
        <f t="shared" si="64"/>
        <v>1.4875000000000001E-2</v>
      </c>
      <c r="AA103" s="14">
        <v>99</v>
      </c>
      <c r="AB103" s="12">
        <v>41007</v>
      </c>
      <c r="AC103" s="15">
        <f t="shared" si="65"/>
        <v>2.1291666666666667E-2</v>
      </c>
      <c r="AI103" s="255">
        <v>99</v>
      </c>
      <c r="AJ103" s="253">
        <v>42103</v>
      </c>
      <c r="AK103" s="256">
        <f t="shared" si="69"/>
        <v>2.9666666666666668E-2</v>
      </c>
      <c r="AL103" s="253">
        <v>42469</v>
      </c>
      <c r="AM103" s="256">
        <f t="shared" si="66"/>
        <v>1.7000000000000001E-2</v>
      </c>
      <c r="AO103" s="253">
        <v>42103</v>
      </c>
      <c r="AP103" s="256">
        <f t="shared" si="67"/>
        <v>5.2666666666666667E-2</v>
      </c>
      <c r="AQ103" s="253">
        <v>42469</v>
      </c>
      <c r="AR103" s="256">
        <f t="shared" si="68"/>
        <v>1.5666666666666666E-2</v>
      </c>
      <c r="BE103" s="4" t="s">
        <v>155</v>
      </c>
    </row>
    <row r="104" spans="4:57" hidden="1" x14ac:dyDescent="0.2">
      <c r="D104" s="14">
        <v>100</v>
      </c>
      <c r="E104" s="12">
        <v>41374</v>
      </c>
      <c r="F104" s="15">
        <f t="shared" si="60"/>
        <v>2.0125000000000004E-2</v>
      </c>
      <c r="H104" s="14">
        <v>100</v>
      </c>
      <c r="I104" s="12">
        <v>41739</v>
      </c>
      <c r="J104" s="15">
        <f t="shared" si="61"/>
        <v>1.8958333333333331E-2</v>
      </c>
      <c r="K104" s="4"/>
      <c r="L104" s="14">
        <v>100</v>
      </c>
      <c r="M104" s="12">
        <v>42104</v>
      </c>
      <c r="N104" s="15">
        <f t="shared" si="63"/>
        <v>1.6041666666666669E-2</v>
      </c>
      <c r="O104" s="141"/>
      <c r="P104" s="14">
        <v>100</v>
      </c>
      <c r="Q104" s="12">
        <v>41739</v>
      </c>
      <c r="R104" s="15">
        <f t="shared" si="62"/>
        <v>1.4875000000000001E-2</v>
      </c>
      <c r="S104" s="4"/>
      <c r="T104" s="14">
        <v>100</v>
      </c>
      <c r="U104" s="12">
        <v>42104</v>
      </c>
      <c r="V104" s="15">
        <f t="shared" si="64"/>
        <v>1.4875000000000001E-2</v>
      </c>
      <c r="AA104" s="14">
        <v>100</v>
      </c>
      <c r="AB104" s="12">
        <v>41008</v>
      </c>
      <c r="AC104" s="15">
        <f t="shared" si="65"/>
        <v>2.1291666666666667E-2</v>
      </c>
      <c r="AI104" s="255">
        <v>100</v>
      </c>
      <c r="AJ104" s="253">
        <v>42104</v>
      </c>
      <c r="AK104" s="256">
        <f t="shared" si="69"/>
        <v>2.9666666666666668E-2</v>
      </c>
      <c r="AL104" s="253">
        <v>42470</v>
      </c>
      <c r="AM104" s="256">
        <f t="shared" si="66"/>
        <v>1.7000000000000001E-2</v>
      </c>
      <c r="AO104" s="253">
        <v>42104</v>
      </c>
      <c r="AP104" s="256">
        <f t="shared" si="67"/>
        <v>5.2666666666666667E-2</v>
      </c>
      <c r="AQ104" s="253">
        <v>42470</v>
      </c>
      <c r="AR104" s="256">
        <f t="shared" si="68"/>
        <v>1.5666666666666666E-2</v>
      </c>
      <c r="BE104" s="4" t="s">
        <v>129</v>
      </c>
    </row>
    <row r="105" spans="4:57" ht="14.25" hidden="1" customHeight="1" x14ac:dyDescent="0.2">
      <c r="D105" s="14">
        <v>101</v>
      </c>
      <c r="E105" s="12">
        <v>41375</v>
      </c>
      <c r="F105" s="15">
        <f t="shared" si="60"/>
        <v>2.0125000000000004E-2</v>
      </c>
      <c r="H105" s="14">
        <v>101</v>
      </c>
      <c r="I105" s="12">
        <v>41740</v>
      </c>
      <c r="J105" s="15">
        <f t="shared" si="61"/>
        <v>1.8958333333333331E-2</v>
      </c>
      <c r="K105" s="4"/>
      <c r="L105" s="14">
        <v>101</v>
      </c>
      <c r="M105" s="12">
        <v>42105</v>
      </c>
      <c r="N105" s="15">
        <f t="shared" si="63"/>
        <v>1.6041666666666669E-2</v>
      </c>
      <c r="O105" s="141"/>
      <c r="P105" s="14">
        <v>101</v>
      </c>
      <c r="Q105" s="12">
        <v>41740</v>
      </c>
      <c r="R105" s="15">
        <f t="shared" si="62"/>
        <v>1.4875000000000001E-2</v>
      </c>
      <c r="S105" s="4"/>
      <c r="T105" s="14">
        <v>101</v>
      </c>
      <c r="U105" s="12">
        <v>42105</v>
      </c>
      <c r="V105" s="15">
        <f t="shared" si="64"/>
        <v>1.4875000000000001E-2</v>
      </c>
      <c r="AA105" s="14">
        <v>101</v>
      </c>
      <c r="AB105" s="12">
        <v>41009</v>
      </c>
      <c r="AC105" s="15">
        <f t="shared" si="65"/>
        <v>2.1291666666666667E-2</v>
      </c>
      <c r="AI105" s="255">
        <v>101</v>
      </c>
      <c r="AJ105" s="253">
        <v>42105</v>
      </c>
      <c r="AK105" s="256">
        <f t="shared" si="69"/>
        <v>2.9666666666666668E-2</v>
      </c>
      <c r="AL105" s="253">
        <v>42471</v>
      </c>
      <c r="AM105" s="256">
        <f t="shared" si="66"/>
        <v>1.7000000000000001E-2</v>
      </c>
      <c r="AO105" s="253">
        <v>42105</v>
      </c>
      <c r="AP105" s="256">
        <f t="shared" si="67"/>
        <v>5.2666666666666667E-2</v>
      </c>
      <c r="AQ105" s="253">
        <v>42471</v>
      </c>
      <c r="AR105" s="256">
        <f t="shared" si="68"/>
        <v>1.5666666666666666E-2</v>
      </c>
      <c r="BE105" s="4" t="s">
        <v>166</v>
      </c>
    </row>
    <row r="106" spans="4:57" hidden="1" x14ac:dyDescent="0.2">
      <c r="D106" s="14">
        <v>102</v>
      </c>
      <c r="E106" s="12">
        <v>41376</v>
      </c>
      <c r="F106" s="15">
        <f t="shared" si="60"/>
        <v>2.0125000000000004E-2</v>
      </c>
      <c r="H106" s="14">
        <v>102</v>
      </c>
      <c r="I106" s="12">
        <v>41741</v>
      </c>
      <c r="J106" s="15">
        <f t="shared" si="61"/>
        <v>1.8958333333333331E-2</v>
      </c>
      <c r="K106" s="4"/>
      <c r="L106" s="14">
        <v>102</v>
      </c>
      <c r="M106" s="12">
        <v>42106</v>
      </c>
      <c r="N106" s="15">
        <f t="shared" si="63"/>
        <v>1.6041666666666669E-2</v>
      </c>
      <c r="O106" s="141"/>
      <c r="P106" s="14">
        <v>102</v>
      </c>
      <c r="Q106" s="12">
        <v>41741</v>
      </c>
      <c r="R106" s="15">
        <f t="shared" si="62"/>
        <v>1.4875000000000001E-2</v>
      </c>
      <c r="S106" s="4"/>
      <c r="T106" s="14">
        <v>102</v>
      </c>
      <c r="U106" s="12">
        <v>42106</v>
      </c>
      <c r="V106" s="15">
        <f t="shared" si="64"/>
        <v>1.4875000000000001E-2</v>
      </c>
      <c r="AA106" s="14">
        <v>102</v>
      </c>
      <c r="AB106" s="12">
        <v>41010</v>
      </c>
      <c r="AC106" s="15">
        <f t="shared" si="65"/>
        <v>2.1291666666666667E-2</v>
      </c>
      <c r="AI106" s="255">
        <v>102</v>
      </c>
      <c r="AJ106" s="253">
        <v>42106</v>
      </c>
      <c r="AK106" s="256">
        <f t="shared" si="69"/>
        <v>2.9666666666666668E-2</v>
      </c>
      <c r="AL106" s="253">
        <v>42472</v>
      </c>
      <c r="AM106" s="256">
        <f t="shared" si="66"/>
        <v>1.7000000000000001E-2</v>
      </c>
      <c r="AO106" s="253">
        <v>42106</v>
      </c>
      <c r="AP106" s="256">
        <f t="shared" si="67"/>
        <v>5.2666666666666667E-2</v>
      </c>
      <c r="AQ106" s="253">
        <v>42472</v>
      </c>
      <c r="AR106" s="256">
        <f t="shared" si="68"/>
        <v>1.5666666666666666E-2</v>
      </c>
      <c r="BD106" s="4">
        <f>'Рецепты а.б.'!B51</f>
        <v>0</v>
      </c>
      <c r="BE106" s="4" t="s">
        <v>20</v>
      </c>
    </row>
    <row r="107" spans="4:57" hidden="1" x14ac:dyDescent="0.2">
      <c r="D107" s="14">
        <v>103</v>
      </c>
      <c r="E107" s="12">
        <v>41377</v>
      </c>
      <c r="F107" s="15">
        <f t="shared" si="60"/>
        <v>2.0125000000000004E-2</v>
      </c>
      <c r="H107" s="14">
        <v>103</v>
      </c>
      <c r="I107" s="12">
        <v>41742</v>
      </c>
      <c r="J107" s="15">
        <f t="shared" si="61"/>
        <v>1.8958333333333331E-2</v>
      </c>
      <c r="K107" s="4"/>
      <c r="L107" s="14">
        <v>103</v>
      </c>
      <c r="M107" s="12">
        <v>42107</v>
      </c>
      <c r="N107" s="15">
        <f t="shared" si="63"/>
        <v>1.6041666666666669E-2</v>
      </c>
      <c r="O107" s="141"/>
      <c r="P107" s="14">
        <v>103</v>
      </c>
      <c r="Q107" s="12">
        <v>41742</v>
      </c>
      <c r="R107" s="15">
        <f t="shared" si="62"/>
        <v>1.4875000000000001E-2</v>
      </c>
      <c r="S107" s="4"/>
      <c r="T107" s="14">
        <v>103</v>
      </c>
      <c r="U107" s="12">
        <v>42107</v>
      </c>
      <c r="V107" s="15">
        <f t="shared" si="64"/>
        <v>1.4875000000000001E-2</v>
      </c>
      <c r="AA107" s="14">
        <v>103</v>
      </c>
      <c r="AB107" s="12">
        <v>41011</v>
      </c>
      <c r="AC107" s="15">
        <f t="shared" si="65"/>
        <v>2.1291666666666667E-2</v>
      </c>
      <c r="AI107" s="255">
        <v>103</v>
      </c>
      <c r="AJ107" s="253">
        <v>42107</v>
      </c>
      <c r="AK107" s="256">
        <f t="shared" si="69"/>
        <v>2.9666666666666668E-2</v>
      </c>
      <c r="AL107" s="253">
        <v>42473</v>
      </c>
      <c r="AM107" s="256">
        <f t="shared" si="66"/>
        <v>1.7000000000000001E-2</v>
      </c>
      <c r="AO107" s="253">
        <v>42107</v>
      </c>
      <c r="AP107" s="256">
        <f t="shared" si="67"/>
        <v>5.2666666666666667E-2</v>
      </c>
      <c r="AQ107" s="253">
        <v>42473</v>
      </c>
      <c r="AR107" s="256">
        <f t="shared" si="68"/>
        <v>1.5666666666666666E-2</v>
      </c>
      <c r="BD107" s="4">
        <f>'Рецепты а.б.'!B52</f>
        <v>0</v>
      </c>
      <c r="BE107" s="4" t="s">
        <v>28</v>
      </c>
    </row>
    <row r="108" spans="4:57" hidden="1" x14ac:dyDescent="0.2">
      <c r="D108" s="14">
        <v>104</v>
      </c>
      <c r="E108" s="12">
        <v>41378</v>
      </c>
      <c r="F108" s="15">
        <f t="shared" si="60"/>
        <v>2.0125000000000004E-2</v>
      </c>
      <c r="H108" s="14">
        <v>104</v>
      </c>
      <c r="I108" s="12">
        <v>41743</v>
      </c>
      <c r="J108" s="15">
        <f t="shared" si="61"/>
        <v>1.8958333333333331E-2</v>
      </c>
      <c r="K108" s="4"/>
      <c r="L108" s="14">
        <v>104</v>
      </c>
      <c r="M108" s="12">
        <v>42108</v>
      </c>
      <c r="N108" s="15">
        <f t="shared" si="63"/>
        <v>1.6041666666666669E-2</v>
      </c>
      <c r="O108" s="141"/>
      <c r="P108" s="14">
        <v>104</v>
      </c>
      <c r="Q108" s="12">
        <v>41743</v>
      </c>
      <c r="R108" s="15">
        <f t="shared" si="62"/>
        <v>1.4875000000000001E-2</v>
      </c>
      <c r="S108" s="4"/>
      <c r="T108" s="14">
        <v>104</v>
      </c>
      <c r="U108" s="12">
        <v>42108</v>
      </c>
      <c r="V108" s="15">
        <f t="shared" si="64"/>
        <v>1.4875000000000001E-2</v>
      </c>
      <c r="AA108" s="14">
        <v>104</v>
      </c>
      <c r="AB108" s="12">
        <v>41012</v>
      </c>
      <c r="AC108" s="15">
        <f t="shared" si="65"/>
        <v>2.1291666666666667E-2</v>
      </c>
      <c r="AI108" s="255">
        <v>104</v>
      </c>
      <c r="AJ108" s="253">
        <v>42108</v>
      </c>
      <c r="AK108" s="256">
        <f t="shared" si="69"/>
        <v>2.9666666666666668E-2</v>
      </c>
      <c r="AL108" s="253">
        <v>42474</v>
      </c>
      <c r="AM108" s="256">
        <f t="shared" si="66"/>
        <v>1.7000000000000001E-2</v>
      </c>
      <c r="AO108" s="253">
        <v>42108</v>
      </c>
      <c r="AP108" s="256">
        <f t="shared" si="67"/>
        <v>5.2666666666666667E-2</v>
      </c>
      <c r="AQ108" s="253">
        <v>42474</v>
      </c>
      <c r="AR108" s="256">
        <f t="shared" si="68"/>
        <v>1.5666666666666666E-2</v>
      </c>
      <c r="BD108" s="4">
        <f>'Рецепты а.б.'!B53</f>
        <v>0</v>
      </c>
      <c r="BE108" s="4" t="s">
        <v>29</v>
      </c>
    </row>
    <row r="109" spans="4:57" hidden="1" x14ac:dyDescent="0.2">
      <c r="D109" s="14">
        <v>105</v>
      </c>
      <c r="E109" s="12">
        <v>41379</v>
      </c>
      <c r="F109" s="15">
        <f t="shared" si="60"/>
        <v>2.0125000000000004E-2</v>
      </c>
      <c r="H109" s="14">
        <v>105</v>
      </c>
      <c r="I109" s="12">
        <v>41744</v>
      </c>
      <c r="J109" s="15">
        <f t="shared" si="61"/>
        <v>1.8958333333333331E-2</v>
      </c>
      <c r="K109" s="4"/>
      <c r="L109" s="14">
        <v>105</v>
      </c>
      <c r="M109" s="12">
        <v>42109</v>
      </c>
      <c r="N109" s="15">
        <f t="shared" si="63"/>
        <v>1.6041666666666669E-2</v>
      </c>
      <c r="O109" s="141"/>
      <c r="P109" s="14">
        <v>105</v>
      </c>
      <c r="Q109" s="12">
        <v>41744</v>
      </c>
      <c r="R109" s="15">
        <f t="shared" si="62"/>
        <v>1.4875000000000001E-2</v>
      </c>
      <c r="S109" s="4"/>
      <c r="T109" s="14">
        <v>105</v>
      </c>
      <c r="U109" s="12">
        <v>42109</v>
      </c>
      <c r="V109" s="15">
        <f t="shared" si="64"/>
        <v>1.4875000000000001E-2</v>
      </c>
      <c r="AA109" s="14">
        <v>105</v>
      </c>
      <c r="AB109" s="12">
        <v>41013</v>
      </c>
      <c r="AC109" s="15">
        <f t="shared" si="65"/>
        <v>2.1291666666666667E-2</v>
      </c>
      <c r="AI109" s="255">
        <v>105</v>
      </c>
      <c r="AJ109" s="253">
        <v>42109</v>
      </c>
      <c r="AK109" s="256">
        <f t="shared" si="69"/>
        <v>2.9666666666666668E-2</v>
      </c>
      <c r="AL109" s="253">
        <v>42475</v>
      </c>
      <c r="AM109" s="256">
        <f t="shared" si="66"/>
        <v>1.7000000000000001E-2</v>
      </c>
      <c r="AO109" s="253">
        <v>42109</v>
      </c>
      <c r="AP109" s="256">
        <f t="shared" si="67"/>
        <v>5.2666666666666667E-2</v>
      </c>
      <c r="AQ109" s="253">
        <v>42475</v>
      </c>
      <c r="AR109" s="256">
        <f t="shared" si="68"/>
        <v>1.5666666666666666E-2</v>
      </c>
      <c r="BD109" s="4">
        <f>'Рецепты а.б.'!B54</f>
        <v>0</v>
      </c>
      <c r="BE109" s="4" t="s">
        <v>51</v>
      </c>
    </row>
    <row r="110" spans="4:57" hidden="1" x14ac:dyDescent="0.2">
      <c r="D110" s="14">
        <v>106</v>
      </c>
      <c r="E110" s="12">
        <v>41380</v>
      </c>
      <c r="F110" s="15">
        <f t="shared" si="60"/>
        <v>2.0125000000000004E-2</v>
      </c>
      <c r="H110" s="14">
        <v>106</v>
      </c>
      <c r="I110" s="12">
        <v>41745</v>
      </c>
      <c r="J110" s="15">
        <f t="shared" si="61"/>
        <v>1.8958333333333331E-2</v>
      </c>
      <c r="K110" s="4"/>
      <c r="L110" s="14">
        <v>106</v>
      </c>
      <c r="M110" s="12">
        <v>42110</v>
      </c>
      <c r="N110" s="15">
        <f t="shared" si="63"/>
        <v>1.6041666666666669E-2</v>
      </c>
      <c r="O110" s="141"/>
      <c r="P110" s="14">
        <v>106</v>
      </c>
      <c r="Q110" s="12">
        <v>41745</v>
      </c>
      <c r="R110" s="15">
        <f t="shared" si="62"/>
        <v>1.4875000000000001E-2</v>
      </c>
      <c r="S110" s="4"/>
      <c r="T110" s="14">
        <v>106</v>
      </c>
      <c r="U110" s="12">
        <v>42110</v>
      </c>
      <c r="V110" s="15">
        <f t="shared" si="64"/>
        <v>1.4875000000000001E-2</v>
      </c>
      <c r="AA110" s="14">
        <v>106</v>
      </c>
      <c r="AB110" s="12">
        <v>41014</v>
      </c>
      <c r="AC110" s="15">
        <f t="shared" si="65"/>
        <v>2.1291666666666667E-2</v>
      </c>
      <c r="AI110" s="255">
        <v>106</v>
      </c>
      <c r="AJ110" s="253">
        <v>42110</v>
      </c>
      <c r="AK110" s="256">
        <f t="shared" si="69"/>
        <v>2.9666666666666668E-2</v>
      </c>
      <c r="AL110" s="253">
        <v>42476</v>
      </c>
      <c r="AM110" s="256">
        <f t="shared" si="66"/>
        <v>1.7000000000000001E-2</v>
      </c>
      <c r="AO110" s="253">
        <v>42110</v>
      </c>
      <c r="AP110" s="256">
        <f t="shared" si="67"/>
        <v>5.2666666666666667E-2</v>
      </c>
      <c r="AQ110" s="253">
        <v>42476</v>
      </c>
      <c r="AR110" s="256">
        <f t="shared" si="68"/>
        <v>1.5666666666666666E-2</v>
      </c>
      <c r="BD110" s="4">
        <f>'Рецепты а.б.'!B55</f>
        <v>0</v>
      </c>
      <c r="BE110" s="4" t="s">
        <v>89</v>
      </c>
    </row>
    <row r="111" spans="4:57" hidden="1" x14ac:dyDescent="0.2">
      <c r="D111" s="14">
        <v>107</v>
      </c>
      <c r="E111" s="12">
        <v>41381</v>
      </c>
      <c r="F111" s="15">
        <f t="shared" si="60"/>
        <v>2.0125000000000004E-2</v>
      </c>
      <c r="H111" s="14">
        <v>107</v>
      </c>
      <c r="I111" s="12">
        <v>41746</v>
      </c>
      <c r="J111" s="15">
        <f t="shared" si="61"/>
        <v>1.8958333333333331E-2</v>
      </c>
      <c r="K111" s="4"/>
      <c r="L111" s="14">
        <v>107</v>
      </c>
      <c r="M111" s="12">
        <v>42111</v>
      </c>
      <c r="N111" s="15">
        <f t="shared" si="63"/>
        <v>1.6041666666666669E-2</v>
      </c>
      <c r="O111" s="141"/>
      <c r="P111" s="14">
        <v>107</v>
      </c>
      <c r="Q111" s="12">
        <v>41746</v>
      </c>
      <c r="R111" s="15">
        <f t="shared" si="62"/>
        <v>1.4875000000000001E-2</v>
      </c>
      <c r="S111" s="4"/>
      <c r="T111" s="14">
        <v>107</v>
      </c>
      <c r="U111" s="12">
        <v>42111</v>
      </c>
      <c r="V111" s="15">
        <f t="shared" si="64"/>
        <v>1.4875000000000001E-2</v>
      </c>
      <c r="AA111" s="14">
        <v>107</v>
      </c>
      <c r="AB111" s="12">
        <v>41015</v>
      </c>
      <c r="AC111" s="15">
        <f t="shared" si="65"/>
        <v>2.1291666666666667E-2</v>
      </c>
      <c r="AI111" s="255">
        <v>107</v>
      </c>
      <c r="AJ111" s="253">
        <v>42111</v>
      </c>
      <c r="AK111" s="256">
        <f t="shared" si="69"/>
        <v>2.9666666666666668E-2</v>
      </c>
      <c r="AL111" s="253">
        <v>42477</v>
      </c>
      <c r="AM111" s="256">
        <f t="shared" si="66"/>
        <v>1.7000000000000001E-2</v>
      </c>
      <c r="AO111" s="253">
        <v>42111</v>
      </c>
      <c r="AP111" s="256">
        <f t="shared" si="67"/>
        <v>5.2666666666666667E-2</v>
      </c>
      <c r="AQ111" s="253">
        <v>42477</v>
      </c>
      <c r="AR111" s="256">
        <f t="shared" si="68"/>
        <v>1.5666666666666666E-2</v>
      </c>
      <c r="BD111" s="4">
        <f>'Рецепты а.б.'!B56</f>
        <v>0</v>
      </c>
    </row>
    <row r="112" spans="4:57" hidden="1" x14ac:dyDescent="0.2">
      <c r="D112" s="14">
        <v>108</v>
      </c>
      <c r="E112" s="12">
        <v>41382</v>
      </c>
      <c r="F112" s="15">
        <f t="shared" si="60"/>
        <v>2.0125000000000004E-2</v>
      </c>
      <c r="H112" s="14">
        <v>108</v>
      </c>
      <c r="I112" s="12">
        <v>41747</v>
      </c>
      <c r="J112" s="15">
        <f t="shared" si="61"/>
        <v>1.8958333333333331E-2</v>
      </c>
      <c r="K112" s="4"/>
      <c r="L112" s="14">
        <v>108</v>
      </c>
      <c r="M112" s="12">
        <v>42112</v>
      </c>
      <c r="N112" s="15">
        <f t="shared" si="63"/>
        <v>1.6041666666666669E-2</v>
      </c>
      <c r="O112" s="141"/>
      <c r="P112" s="14">
        <v>108</v>
      </c>
      <c r="Q112" s="12">
        <v>41747</v>
      </c>
      <c r="R112" s="15">
        <f t="shared" si="62"/>
        <v>1.4875000000000001E-2</v>
      </c>
      <c r="S112" s="4"/>
      <c r="T112" s="14">
        <v>108</v>
      </c>
      <c r="U112" s="12">
        <v>42112</v>
      </c>
      <c r="V112" s="15">
        <f t="shared" si="64"/>
        <v>1.4875000000000001E-2</v>
      </c>
      <c r="AA112" s="14">
        <v>108</v>
      </c>
      <c r="AB112" s="12">
        <v>41016</v>
      </c>
      <c r="AC112" s="15">
        <f t="shared" si="65"/>
        <v>2.1291666666666667E-2</v>
      </c>
      <c r="AI112" s="255">
        <v>108</v>
      </c>
      <c r="AJ112" s="253">
        <v>42112</v>
      </c>
      <c r="AK112" s="256">
        <f t="shared" si="69"/>
        <v>2.9666666666666668E-2</v>
      </c>
      <c r="AL112" s="253">
        <v>42478</v>
      </c>
      <c r="AM112" s="256">
        <f t="shared" si="66"/>
        <v>1.7000000000000001E-2</v>
      </c>
      <c r="AO112" s="253">
        <v>42112</v>
      </c>
      <c r="AP112" s="256">
        <f t="shared" si="67"/>
        <v>5.2666666666666667E-2</v>
      </c>
      <c r="AQ112" s="253">
        <v>42478</v>
      </c>
      <c r="AR112" s="256">
        <f t="shared" si="68"/>
        <v>1.5666666666666666E-2</v>
      </c>
      <c r="BD112" s="4">
        <f>'Рецепты а.б.'!B57</f>
        <v>0</v>
      </c>
    </row>
    <row r="113" spans="4:56" hidden="1" x14ac:dyDescent="0.2">
      <c r="D113" s="14">
        <v>109</v>
      </c>
      <c r="E113" s="12">
        <v>41383</v>
      </c>
      <c r="F113" s="15">
        <f t="shared" si="60"/>
        <v>2.0125000000000004E-2</v>
      </c>
      <c r="H113" s="14">
        <v>109</v>
      </c>
      <c r="I113" s="12">
        <v>41748</v>
      </c>
      <c r="J113" s="15">
        <f t="shared" si="61"/>
        <v>1.8958333333333331E-2</v>
      </c>
      <c r="K113" s="4"/>
      <c r="L113" s="14">
        <v>109</v>
      </c>
      <c r="M113" s="12">
        <v>42113</v>
      </c>
      <c r="N113" s="15">
        <f t="shared" si="63"/>
        <v>1.6041666666666669E-2</v>
      </c>
      <c r="O113" s="141"/>
      <c r="P113" s="14">
        <v>109</v>
      </c>
      <c r="Q113" s="12">
        <v>41748</v>
      </c>
      <c r="R113" s="15">
        <f t="shared" si="62"/>
        <v>1.4875000000000001E-2</v>
      </c>
      <c r="S113" s="4"/>
      <c r="T113" s="14">
        <v>109</v>
      </c>
      <c r="U113" s="12">
        <v>42113</v>
      </c>
      <c r="V113" s="15">
        <f t="shared" si="64"/>
        <v>1.4875000000000001E-2</v>
      </c>
      <c r="AA113" s="14">
        <v>109</v>
      </c>
      <c r="AB113" s="12">
        <v>41017</v>
      </c>
      <c r="AC113" s="15">
        <f t="shared" si="65"/>
        <v>2.1291666666666667E-2</v>
      </c>
      <c r="AI113" s="255">
        <v>109</v>
      </c>
      <c r="AJ113" s="253">
        <v>42113</v>
      </c>
      <c r="AK113" s="256">
        <f t="shared" si="69"/>
        <v>2.9666666666666668E-2</v>
      </c>
      <c r="AL113" s="253">
        <v>42479</v>
      </c>
      <c r="AM113" s="256">
        <f t="shared" si="66"/>
        <v>1.7000000000000001E-2</v>
      </c>
      <c r="AO113" s="253">
        <v>42113</v>
      </c>
      <c r="AP113" s="256">
        <f t="shared" si="67"/>
        <v>5.2666666666666667E-2</v>
      </c>
      <c r="AQ113" s="253">
        <v>42479</v>
      </c>
      <c r="AR113" s="256">
        <f t="shared" si="68"/>
        <v>1.5666666666666666E-2</v>
      </c>
      <c r="BD113" s="4">
        <f>'Рецепты а.б.'!B58</f>
        <v>0</v>
      </c>
    </row>
    <row r="114" spans="4:56" hidden="1" x14ac:dyDescent="0.2">
      <c r="D114" s="14">
        <v>110</v>
      </c>
      <c r="E114" s="12">
        <v>41384</v>
      </c>
      <c r="F114" s="15">
        <f t="shared" si="60"/>
        <v>2.0125000000000004E-2</v>
      </c>
      <c r="H114" s="14">
        <v>110</v>
      </c>
      <c r="I114" s="12">
        <v>41749</v>
      </c>
      <c r="J114" s="15">
        <f t="shared" si="61"/>
        <v>1.8958333333333331E-2</v>
      </c>
      <c r="K114" s="4"/>
      <c r="L114" s="14">
        <v>110</v>
      </c>
      <c r="M114" s="12">
        <v>42114</v>
      </c>
      <c r="N114" s="15">
        <f t="shared" si="63"/>
        <v>1.6041666666666669E-2</v>
      </c>
      <c r="O114" s="141"/>
      <c r="P114" s="14">
        <v>110</v>
      </c>
      <c r="Q114" s="12">
        <v>41749</v>
      </c>
      <c r="R114" s="15">
        <f t="shared" si="62"/>
        <v>1.4875000000000001E-2</v>
      </c>
      <c r="S114" s="4"/>
      <c r="T114" s="14">
        <v>110</v>
      </c>
      <c r="U114" s="12">
        <v>42114</v>
      </c>
      <c r="V114" s="15">
        <f t="shared" si="64"/>
        <v>1.4875000000000001E-2</v>
      </c>
      <c r="AA114" s="14">
        <v>110</v>
      </c>
      <c r="AB114" s="12">
        <v>41018</v>
      </c>
      <c r="AC114" s="15">
        <f t="shared" si="65"/>
        <v>2.1291666666666667E-2</v>
      </c>
      <c r="AI114" s="255">
        <v>110</v>
      </c>
      <c r="AJ114" s="253">
        <v>42114</v>
      </c>
      <c r="AK114" s="256">
        <f t="shared" si="69"/>
        <v>2.9666666666666668E-2</v>
      </c>
      <c r="AL114" s="253">
        <v>42480</v>
      </c>
      <c r="AM114" s="256">
        <f t="shared" si="66"/>
        <v>1.7000000000000001E-2</v>
      </c>
      <c r="AO114" s="253">
        <v>42114</v>
      </c>
      <c r="AP114" s="256">
        <f t="shared" si="67"/>
        <v>5.2666666666666667E-2</v>
      </c>
      <c r="AQ114" s="253">
        <v>42480</v>
      </c>
      <c r="AR114" s="256">
        <f t="shared" si="68"/>
        <v>1.5666666666666666E-2</v>
      </c>
      <c r="BD114" s="4">
        <f>'Рецепты а.б.'!B59</f>
        <v>0</v>
      </c>
    </row>
    <row r="115" spans="4:56" hidden="1" x14ac:dyDescent="0.2">
      <c r="D115" s="14">
        <v>111</v>
      </c>
      <c r="E115" s="12">
        <v>41385</v>
      </c>
      <c r="F115" s="50">
        <f t="shared" ref="F115:F124" si="70">F$84+F$4/D$4/100</f>
        <v>2.3000000000000003E-2</v>
      </c>
      <c r="H115" s="14">
        <v>111</v>
      </c>
      <c r="I115" s="12">
        <v>41750</v>
      </c>
      <c r="J115" s="50">
        <f t="shared" ref="J115:J124" si="71">J$84+J$4/H$4/100</f>
        <v>2.1666666666666664E-2</v>
      </c>
      <c r="K115" s="4"/>
      <c r="L115" s="14">
        <v>111</v>
      </c>
      <c r="M115" s="12">
        <v>42115</v>
      </c>
      <c r="N115" s="50">
        <f>N$84+N$4/L$4/100</f>
        <v>1.8333333333333333E-2</v>
      </c>
      <c r="O115" s="141"/>
      <c r="P115" s="14">
        <v>111</v>
      </c>
      <c r="Q115" s="12">
        <v>41750</v>
      </c>
      <c r="R115" s="50">
        <f t="shared" ref="R115:R124" si="72">R$84+R$4/P$4/100</f>
        <v>1.7000000000000001E-2</v>
      </c>
      <c r="S115" s="4"/>
      <c r="T115" s="14">
        <v>111</v>
      </c>
      <c r="U115" s="12">
        <v>42115</v>
      </c>
      <c r="V115" s="50">
        <f>V$84+V$4/T$4/100</f>
        <v>1.7000000000000001E-2</v>
      </c>
      <c r="AA115" s="51">
        <v>111</v>
      </c>
      <c r="AB115" s="12">
        <v>41019</v>
      </c>
      <c r="AC115" s="15">
        <f>AC$65+AC$4/AA$4/100</f>
        <v>2.1291666666666667E-2</v>
      </c>
      <c r="AI115" s="255">
        <v>111</v>
      </c>
      <c r="AJ115" s="253">
        <v>42115</v>
      </c>
      <c r="AK115" s="256">
        <f t="shared" si="69"/>
        <v>2.9666666666666668E-2</v>
      </c>
      <c r="AL115" s="253">
        <v>42481</v>
      </c>
      <c r="AM115" s="256">
        <f t="shared" si="66"/>
        <v>1.7000000000000001E-2</v>
      </c>
      <c r="AO115" s="253">
        <v>42115</v>
      </c>
      <c r="AP115" s="256">
        <f t="shared" si="67"/>
        <v>5.2666666666666667E-2</v>
      </c>
      <c r="AQ115" s="253">
        <v>42481</v>
      </c>
      <c r="AR115" s="256">
        <f t="shared" si="68"/>
        <v>1.5666666666666666E-2</v>
      </c>
      <c r="BD115" s="4">
        <f>'Рецепты а.б.'!B60</f>
        <v>0</v>
      </c>
    </row>
    <row r="116" spans="4:56" hidden="1" x14ac:dyDescent="0.2">
      <c r="D116" s="14">
        <v>112</v>
      </c>
      <c r="E116" s="12">
        <v>41386</v>
      </c>
      <c r="F116" s="15">
        <f t="shared" si="70"/>
        <v>2.3000000000000003E-2</v>
      </c>
      <c r="H116" s="14">
        <v>112</v>
      </c>
      <c r="I116" s="12">
        <v>41751</v>
      </c>
      <c r="J116" s="15">
        <f t="shared" si="71"/>
        <v>2.1666666666666664E-2</v>
      </c>
      <c r="K116" s="4"/>
      <c r="L116" s="14">
        <v>112</v>
      </c>
      <c r="M116" s="12">
        <v>42116</v>
      </c>
      <c r="N116" s="15">
        <f t="shared" ref="N116:N124" si="73">N$84+N$4/L$4/100</f>
        <v>1.8333333333333333E-2</v>
      </c>
      <c r="O116" s="141"/>
      <c r="P116" s="14">
        <v>112</v>
      </c>
      <c r="Q116" s="12">
        <v>41751</v>
      </c>
      <c r="R116" s="15">
        <f t="shared" si="72"/>
        <v>1.7000000000000001E-2</v>
      </c>
      <c r="S116" s="4"/>
      <c r="T116" s="14">
        <v>112</v>
      </c>
      <c r="U116" s="12">
        <v>42116</v>
      </c>
      <c r="V116" s="15">
        <f t="shared" ref="V116:V124" si="74">V$84+V$4/T$4/100</f>
        <v>1.7000000000000001E-2</v>
      </c>
      <c r="AA116" s="51">
        <v>112</v>
      </c>
      <c r="AB116" s="49">
        <v>41020</v>
      </c>
      <c r="AC116" s="50">
        <f>AC$85+AC$4/AA$4/100</f>
        <v>2.4333333333333332E-2</v>
      </c>
      <c r="AI116" s="255">
        <v>112</v>
      </c>
      <c r="AJ116" s="253">
        <v>42116</v>
      </c>
      <c r="AK116" s="256">
        <f t="shared" si="69"/>
        <v>2.9666666666666668E-2</v>
      </c>
      <c r="AL116" s="253">
        <v>42482</v>
      </c>
      <c r="AM116" s="256">
        <f t="shared" si="66"/>
        <v>1.7000000000000001E-2</v>
      </c>
      <c r="AO116" s="253">
        <v>42116</v>
      </c>
      <c r="AP116" s="256">
        <f t="shared" si="67"/>
        <v>5.2666666666666667E-2</v>
      </c>
      <c r="AQ116" s="253">
        <v>42482</v>
      </c>
      <c r="AR116" s="256">
        <f t="shared" si="68"/>
        <v>1.5666666666666666E-2</v>
      </c>
      <c r="BD116" s="4">
        <f>'Рецепты а.б.'!B61</f>
        <v>0</v>
      </c>
    </row>
    <row r="117" spans="4:56" hidden="1" x14ac:dyDescent="0.2">
      <c r="D117" s="14">
        <v>113</v>
      </c>
      <c r="E117" s="12">
        <v>41387</v>
      </c>
      <c r="F117" s="15">
        <f t="shared" si="70"/>
        <v>2.3000000000000003E-2</v>
      </c>
      <c r="H117" s="14">
        <v>113</v>
      </c>
      <c r="I117" s="12">
        <v>41752</v>
      </c>
      <c r="J117" s="15">
        <f t="shared" si="71"/>
        <v>2.1666666666666664E-2</v>
      </c>
      <c r="K117" s="4"/>
      <c r="L117" s="14">
        <v>113</v>
      </c>
      <c r="M117" s="12">
        <v>42117</v>
      </c>
      <c r="N117" s="15">
        <f t="shared" si="73"/>
        <v>1.8333333333333333E-2</v>
      </c>
      <c r="O117" s="141"/>
      <c r="P117" s="14">
        <v>113</v>
      </c>
      <c r="Q117" s="12">
        <v>41752</v>
      </c>
      <c r="R117" s="15">
        <f t="shared" si="72"/>
        <v>1.7000000000000001E-2</v>
      </c>
      <c r="S117" s="4"/>
      <c r="T117" s="14">
        <v>113</v>
      </c>
      <c r="U117" s="12">
        <v>42117</v>
      </c>
      <c r="V117" s="15">
        <f t="shared" si="74"/>
        <v>1.7000000000000001E-2</v>
      </c>
      <c r="AA117" s="14">
        <v>113</v>
      </c>
      <c r="AB117" s="12">
        <v>41021</v>
      </c>
      <c r="AC117" s="15">
        <f t="shared" ref="AC117:AC125" si="75">AC$85+AC$4/AA$4/100</f>
        <v>2.4333333333333332E-2</v>
      </c>
      <c r="AI117" s="255">
        <v>113</v>
      </c>
      <c r="AJ117" s="253">
        <v>42117</v>
      </c>
      <c r="AK117" s="256">
        <f t="shared" si="69"/>
        <v>2.9666666666666668E-2</v>
      </c>
      <c r="AL117" s="253">
        <v>42483</v>
      </c>
      <c r="AM117" s="256">
        <f t="shared" si="66"/>
        <v>1.7000000000000001E-2</v>
      </c>
      <c r="AO117" s="253">
        <v>42117</v>
      </c>
      <c r="AP117" s="256">
        <f t="shared" si="67"/>
        <v>5.2666666666666667E-2</v>
      </c>
      <c r="AQ117" s="253">
        <v>42483</v>
      </c>
      <c r="AR117" s="256">
        <f t="shared" si="68"/>
        <v>1.5666666666666666E-2</v>
      </c>
      <c r="BD117" s="4">
        <f>'Рецепты а.б.'!B62</f>
        <v>0</v>
      </c>
    </row>
    <row r="118" spans="4:56" hidden="1" x14ac:dyDescent="0.2">
      <c r="D118" s="14">
        <v>114</v>
      </c>
      <c r="E118" s="12">
        <v>41388</v>
      </c>
      <c r="F118" s="15">
        <f t="shared" si="70"/>
        <v>2.3000000000000003E-2</v>
      </c>
      <c r="H118" s="14">
        <v>114</v>
      </c>
      <c r="I118" s="12">
        <v>41753</v>
      </c>
      <c r="J118" s="15">
        <f t="shared" si="71"/>
        <v>2.1666666666666664E-2</v>
      </c>
      <c r="K118" s="4"/>
      <c r="L118" s="14">
        <v>114</v>
      </c>
      <c r="M118" s="12">
        <v>42118</v>
      </c>
      <c r="N118" s="15">
        <f t="shared" si="73"/>
        <v>1.8333333333333333E-2</v>
      </c>
      <c r="O118" s="141"/>
      <c r="P118" s="14">
        <v>114</v>
      </c>
      <c r="Q118" s="12">
        <v>41753</v>
      </c>
      <c r="R118" s="15">
        <f t="shared" si="72"/>
        <v>1.7000000000000001E-2</v>
      </c>
      <c r="S118" s="4"/>
      <c r="T118" s="14">
        <v>114</v>
      </c>
      <c r="U118" s="12">
        <v>42118</v>
      </c>
      <c r="V118" s="15">
        <f t="shared" si="74"/>
        <v>1.7000000000000001E-2</v>
      </c>
      <c r="AA118" s="14">
        <v>114</v>
      </c>
      <c r="AB118" s="12">
        <v>41022</v>
      </c>
      <c r="AC118" s="15">
        <f t="shared" si="75"/>
        <v>2.4333333333333332E-2</v>
      </c>
      <c r="AI118" s="255">
        <v>114</v>
      </c>
      <c r="AJ118" s="253">
        <v>42118</v>
      </c>
      <c r="AK118" s="256">
        <f t="shared" si="69"/>
        <v>2.9666666666666668E-2</v>
      </c>
      <c r="AL118" s="253">
        <v>42484</v>
      </c>
      <c r="AM118" s="256">
        <f t="shared" si="66"/>
        <v>1.7000000000000001E-2</v>
      </c>
      <c r="AO118" s="253">
        <v>42118</v>
      </c>
      <c r="AP118" s="256">
        <f t="shared" si="67"/>
        <v>5.2666666666666667E-2</v>
      </c>
      <c r="AQ118" s="253">
        <v>42484</v>
      </c>
      <c r="AR118" s="256">
        <f t="shared" si="68"/>
        <v>1.5666666666666666E-2</v>
      </c>
      <c r="BD118" s="4">
        <f>'Рецепты а.б.'!B63</f>
        <v>0</v>
      </c>
    </row>
    <row r="119" spans="4:56" hidden="1" x14ac:dyDescent="0.2">
      <c r="D119" s="14">
        <v>115</v>
      </c>
      <c r="E119" s="12">
        <v>41389</v>
      </c>
      <c r="F119" s="15">
        <f t="shared" si="70"/>
        <v>2.3000000000000003E-2</v>
      </c>
      <c r="H119" s="14">
        <v>115</v>
      </c>
      <c r="I119" s="12">
        <v>41754</v>
      </c>
      <c r="J119" s="15">
        <f t="shared" si="71"/>
        <v>2.1666666666666664E-2</v>
      </c>
      <c r="K119" s="4"/>
      <c r="L119" s="14">
        <v>115</v>
      </c>
      <c r="M119" s="12">
        <v>42119</v>
      </c>
      <c r="N119" s="15">
        <f t="shared" si="73"/>
        <v>1.8333333333333333E-2</v>
      </c>
      <c r="O119" s="141"/>
      <c r="P119" s="14">
        <v>115</v>
      </c>
      <c r="Q119" s="12">
        <v>41754</v>
      </c>
      <c r="R119" s="15">
        <f t="shared" si="72"/>
        <v>1.7000000000000001E-2</v>
      </c>
      <c r="S119" s="4"/>
      <c r="T119" s="14">
        <v>115</v>
      </c>
      <c r="U119" s="12">
        <v>42119</v>
      </c>
      <c r="V119" s="15">
        <f t="shared" si="74"/>
        <v>1.7000000000000001E-2</v>
      </c>
      <c r="AA119" s="14">
        <v>115</v>
      </c>
      <c r="AB119" s="12">
        <v>41023</v>
      </c>
      <c r="AC119" s="15">
        <f t="shared" si="75"/>
        <v>2.4333333333333332E-2</v>
      </c>
      <c r="AI119" s="255">
        <v>115</v>
      </c>
      <c r="AJ119" s="253">
        <v>42119</v>
      </c>
      <c r="AK119" s="256">
        <f t="shared" si="69"/>
        <v>2.9666666666666668E-2</v>
      </c>
      <c r="AL119" s="253">
        <v>42485</v>
      </c>
      <c r="AM119" s="256">
        <f t="shared" si="66"/>
        <v>1.7000000000000001E-2</v>
      </c>
      <c r="AO119" s="253">
        <v>42119</v>
      </c>
      <c r="AP119" s="256">
        <f t="shared" si="67"/>
        <v>5.2666666666666667E-2</v>
      </c>
      <c r="AQ119" s="253">
        <v>42485</v>
      </c>
      <c r="AR119" s="256">
        <f t="shared" si="68"/>
        <v>1.5666666666666666E-2</v>
      </c>
      <c r="BD119" s="4">
        <f>'Рецепты а.б.'!B64</f>
        <v>0</v>
      </c>
    </row>
    <row r="120" spans="4:56" hidden="1" x14ac:dyDescent="0.2">
      <c r="D120" s="14">
        <v>116</v>
      </c>
      <c r="E120" s="12">
        <v>41390</v>
      </c>
      <c r="F120" s="15">
        <f t="shared" si="70"/>
        <v>2.3000000000000003E-2</v>
      </c>
      <c r="H120" s="14">
        <v>116</v>
      </c>
      <c r="I120" s="12">
        <v>41755</v>
      </c>
      <c r="J120" s="15">
        <f t="shared" si="71"/>
        <v>2.1666666666666664E-2</v>
      </c>
      <c r="K120" s="4"/>
      <c r="L120" s="14">
        <v>116</v>
      </c>
      <c r="M120" s="12">
        <v>42120</v>
      </c>
      <c r="N120" s="15">
        <f t="shared" si="73"/>
        <v>1.8333333333333333E-2</v>
      </c>
      <c r="O120" s="141"/>
      <c r="P120" s="14">
        <v>116</v>
      </c>
      <c r="Q120" s="12">
        <v>41755</v>
      </c>
      <c r="R120" s="15">
        <f t="shared" si="72"/>
        <v>1.7000000000000001E-2</v>
      </c>
      <c r="S120" s="4"/>
      <c r="T120" s="14">
        <v>116</v>
      </c>
      <c r="U120" s="12">
        <v>42120</v>
      </c>
      <c r="V120" s="15">
        <f t="shared" si="74"/>
        <v>1.7000000000000001E-2</v>
      </c>
      <c r="AA120" s="14">
        <v>116</v>
      </c>
      <c r="AB120" s="12">
        <v>41024</v>
      </c>
      <c r="AC120" s="15">
        <f t="shared" si="75"/>
        <v>2.4333333333333332E-2</v>
      </c>
      <c r="AI120" s="255">
        <v>116</v>
      </c>
      <c r="AJ120" s="253">
        <v>42120</v>
      </c>
      <c r="AK120" s="256">
        <f t="shared" si="69"/>
        <v>2.9666666666666668E-2</v>
      </c>
      <c r="AL120" s="253">
        <v>42486</v>
      </c>
      <c r="AM120" s="256">
        <f t="shared" si="66"/>
        <v>1.7000000000000001E-2</v>
      </c>
      <c r="AO120" s="253">
        <v>42120</v>
      </c>
      <c r="AP120" s="256">
        <f t="shared" si="67"/>
        <v>5.2666666666666667E-2</v>
      </c>
      <c r="AQ120" s="253">
        <v>42486</v>
      </c>
      <c r="AR120" s="256">
        <f t="shared" si="68"/>
        <v>1.5666666666666666E-2</v>
      </c>
      <c r="BD120" s="4">
        <f>'Рецепты а.б.'!B65</f>
        <v>0</v>
      </c>
    </row>
    <row r="121" spans="4:56" hidden="1" x14ac:dyDescent="0.2">
      <c r="D121" s="14">
        <v>117</v>
      </c>
      <c r="E121" s="12">
        <v>41391</v>
      </c>
      <c r="F121" s="15">
        <f t="shared" si="70"/>
        <v>2.3000000000000003E-2</v>
      </c>
      <c r="H121" s="14">
        <v>117</v>
      </c>
      <c r="I121" s="12">
        <v>41756</v>
      </c>
      <c r="J121" s="15">
        <f t="shared" si="71"/>
        <v>2.1666666666666664E-2</v>
      </c>
      <c r="K121" s="4"/>
      <c r="L121" s="14">
        <v>117</v>
      </c>
      <c r="M121" s="12">
        <v>42121</v>
      </c>
      <c r="N121" s="15">
        <f t="shared" si="73"/>
        <v>1.8333333333333333E-2</v>
      </c>
      <c r="O121" s="141"/>
      <c r="P121" s="14">
        <v>117</v>
      </c>
      <c r="Q121" s="12">
        <v>41756</v>
      </c>
      <c r="R121" s="15">
        <f t="shared" si="72"/>
        <v>1.7000000000000001E-2</v>
      </c>
      <c r="S121" s="4"/>
      <c r="T121" s="14">
        <v>117</v>
      </c>
      <c r="U121" s="12">
        <v>42121</v>
      </c>
      <c r="V121" s="15">
        <f t="shared" si="74"/>
        <v>1.7000000000000001E-2</v>
      </c>
      <c r="AA121" s="14">
        <v>117</v>
      </c>
      <c r="AB121" s="12">
        <v>41025</v>
      </c>
      <c r="AC121" s="15">
        <f t="shared" si="75"/>
        <v>2.4333333333333332E-2</v>
      </c>
      <c r="AI121" s="255">
        <v>117</v>
      </c>
      <c r="AJ121" s="253">
        <v>42121</v>
      </c>
      <c r="AK121" s="256">
        <f t="shared" si="69"/>
        <v>2.9666666666666668E-2</v>
      </c>
      <c r="AL121" s="253">
        <v>42487</v>
      </c>
      <c r="AM121" s="256">
        <f t="shared" si="66"/>
        <v>1.7000000000000001E-2</v>
      </c>
      <c r="AO121" s="253">
        <v>42121</v>
      </c>
      <c r="AP121" s="256">
        <f t="shared" si="67"/>
        <v>5.2666666666666667E-2</v>
      </c>
      <c r="AQ121" s="253">
        <v>42487</v>
      </c>
      <c r="AR121" s="256">
        <f t="shared" si="68"/>
        <v>1.5666666666666666E-2</v>
      </c>
      <c r="BD121" s="4">
        <f>'Рецепты а.б.'!B66</f>
        <v>0</v>
      </c>
    </row>
    <row r="122" spans="4:56" hidden="1" x14ac:dyDescent="0.2">
      <c r="D122" s="14">
        <v>118</v>
      </c>
      <c r="E122" s="12">
        <v>41392</v>
      </c>
      <c r="F122" s="15">
        <f t="shared" si="70"/>
        <v>2.3000000000000003E-2</v>
      </c>
      <c r="H122" s="14">
        <v>118</v>
      </c>
      <c r="I122" s="12">
        <v>41757</v>
      </c>
      <c r="J122" s="15">
        <f t="shared" si="71"/>
        <v>2.1666666666666664E-2</v>
      </c>
      <c r="K122" s="4"/>
      <c r="L122" s="14">
        <v>118</v>
      </c>
      <c r="M122" s="12">
        <v>42122</v>
      </c>
      <c r="N122" s="15">
        <f t="shared" si="73"/>
        <v>1.8333333333333333E-2</v>
      </c>
      <c r="O122" s="141"/>
      <c r="P122" s="14">
        <v>118</v>
      </c>
      <c r="Q122" s="12">
        <v>41757</v>
      </c>
      <c r="R122" s="15">
        <f t="shared" si="72"/>
        <v>1.7000000000000001E-2</v>
      </c>
      <c r="S122" s="4"/>
      <c r="T122" s="14">
        <v>118</v>
      </c>
      <c r="U122" s="12">
        <v>42122</v>
      </c>
      <c r="V122" s="15">
        <f t="shared" si="74"/>
        <v>1.7000000000000001E-2</v>
      </c>
      <c r="AA122" s="14">
        <v>118</v>
      </c>
      <c r="AB122" s="12">
        <v>41026</v>
      </c>
      <c r="AC122" s="15">
        <f t="shared" si="75"/>
        <v>2.4333333333333332E-2</v>
      </c>
      <c r="AI122" s="255">
        <v>118</v>
      </c>
      <c r="AJ122" s="253">
        <v>42122</v>
      </c>
      <c r="AK122" s="256">
        <f t="shared" si="69"/>
        <v>2.9666666666666668E-2</v>
      </c>
      <c r="AL122" s="253">
        <v>42488</v>
      </c>
      <c r="AM122" s="256">
        <f t="shared" si="66"/>
        <v>1.7000000000000001E-2</v>
      </c>
      <c r="AO122" s="253">
        <v>42122</v>
      </c>
      <c r="AP122" s="256">
        <f t="shared" si="67"/>
        <v>5.2666666666666667E-2</v>
      </c>
      <c r="AQ122" s="253">
        <v>42488</v>
      </c>
      <c r="AR122" s="256">
        <f t="shared" si="68"/>
        <v>1.5666666666666666E-2</v>
      </c>
      <c r="BD122" s="4">
        <f>'Рецепты а.б.'!B67</f>
        <v>0</v>
      </c>
    </row>
    <row r="123" spans="4:56" hidden="1" x14ac:dyDescent="0.2">
      <c r="D123" s="14">
        <v>119</v>
      </c>
      <c r="E123" s="12">
        <v>41393</v>
      </c>
      <c r="F123" s="15">
        <f t="shared" si="70"/>
        <v>2.3000000000000003E-2</v>
      </c>
      <c r="H123" s="14">
        <v>119</v>
      </c>
      <c r="I123" s="12">
        <v>41758</v>
      </c>
      <c r="J123" s="15">
        <f t="shared" si="71"/>
        <v>2.1666666666666664E-2</v>
      </c>
      <c r="K123" s="4"/>
      <c r="L123" s="14">
        <v>119</v>
      </c>
      <c r="M123" s="12">
        <v>42123</v>
      </c>
      <c r="N123" s="15">
        <f t="shared" si="73"/>
        <v>1.8333333333333333E-2</v>
      </c>
      <c r="O123" s="141"/>
      <c r="P123" s="14">
        <v>119</v>
      </c>
      <c r="Q123" s="12">
        <v>41758</v>
      </c>
      <c r="R123" s="15">
        <f t="shared" si="72"/>
        <v>1.7000000000000001E-2</v>
      </c>
      <c r="S123" s="4"/>
      <c r="T123" s="14">
        <v>119</v>
      </c>
      <c r="U123" s="12">
        <v>42123</v>
      </c>
      <c r="V123" s="15">
        <f t="shared" si="74"/>
        <v>1.7000000000000001E-2</v>
      </c>
      <c r="AA123" s="14">
        <v>119</v>
      </c>
      <c r="AB123" s="12">
        <v>41027</v>
      </c>
      <c r="AC123" s="15">
        <f t="shared" si="75"/>
        <v>2.4333333333333332E-2</v>
      </c>
      <c r="AI123" s="255">
        <v>119</v>
      </c>
      <c r="AJ123" s="253">
        <v>42123</v>
      </c>
      <c r="AK123" s="256">
        <f t="shared" si="69"/>
        <v>2.9666666666666668E-2</v>
      </c>
      <c r="AL123" s="253">
        <v>42489</v>
      </c>
      <c r="AM123" s="256">
        <f t="shared" si="66"/>
        <v>1.7000000000000001E-2</v>
      </c>
      <c r="AO123" s="253">
        <v>42123</v>
      </c>
      <c r="AP123" s="256">
        <f t="shared" si="67"/>
        <v>5.2666666666666667E-2</v>
      </c>
      <c r="AQ123" s="253">
        <v>42489</v>
      </c>
      <c r="AR123" s="256">
        <f t="shared" si="68"/>
        <v>1.5666666666666666E-2</v>
      </c>
      <c r="BD123" s="4">
        <f>'Рецепты а.б.'!B68</f>
        <v>0</v>
      </c>
    </row>
    <row r="124" spans="4:56" hidden="1" x14ac:dyDescent="0.2">
      <c r="D124" s="14">
        <v>120</v>
      </c>
      <c r="E124" s="12">
        <v>41394</v>
      </c>
      <c r="F124" s="15">
        <f t="shared" si="70"/>
        <v>2.3000000000000003E-2</v>
      </c>
      <c r="H124" s="14">
        <v>120</v>
      </c>
      <c r="I124" s="12">
        <v>41759</v>
      </c>
      <c r="J124" s="15">
        <f t="shared" si="71"/>
        <v>2.1666666666666664E-2</v>
      </c>
      <c r="K124" s="4"/>
      <c r="L124" s="14">
        <v>120</v>
      </c>
      <c r="M124" s="12">
        <v>42124</v>
      </c>
      <c r="N124" s="15">
        <f t="shared" si="73"/>
        <v>1.8333333333333333E-2</v>
      </c>
      <c r="O124" s="141"/>
      <c r="P124" s="14">
        <v>120</v>
      </c>
      <c r="Q124" s="12">
        <v>41759</v>
      </c>
      <c r="R124" s="15">
        <f t="shared" si="72"/>
        <v>1.7000000000000001E-2</v>
      </c>
      <c r="S124" s="4"/>
      <c r="T124" s="14">
        <v>120</v>
      </c>
      <c r="U124" s="12">
        <v>42124</v>
      </c>
      <c r="V124" s="15">
        <f t="shared" si="74"/>
        <v>1.7000000000000001E-2</v>
      </c>
      <c r="AA124" s="14">
        <v>120</v>
      </c>
      <c r="AB124" s="12">
        <v>41028</v>
      </c>
      <c r="AC124" s="15">
        <f t="shared" si="75"/>
        <v>2.4333333333333332E-2</v>
      </c>
      <c r="AI124" s="255">
        <v>120</v>
      </c>
      <c r="AJ124" s="253">
        <v>42124</v>
      </c>
      <c r="AK124" s="256">
        <f t="shared" si="69"/>
        <v>2.9666666666666668E-2</v>
      </c>
      <c r="AL124" s="253">
        <v>42490</v>
      </c>
      <c r="AM124" s="256">
        <f t="shared" si="66"/>
        <v>1.7000000000000001E-2</v>
      </c>
      <c r="AO124" s="253">
        <v>42124</v>
      </c>
      <c r="AP124" s="256">
        <f t="shared" si="67"/>
        <v>5.2666666666666667E-2</v>
      </c>
      <c r="AQ124" s="253">
        <v>42490</v>
      </c>
      <c r="AR124" s="256">
        <f t="shared" si="68"/>
        <v>1.5666666666666666E-2</v>
      </c>
      <c r="BD124" s="4">
        <f>'Рецепты а.б.'!B69</f>
        <v>0</v>
      </c>
    </row>
    <row r="125" spans="4:56" hidden="1" x14ac:dyDescent="0.2">
      <c r="D125" s="14">
        <v>121</v>
      </c>
      <c r="E125" s="12">
        <v>41395</v>
      </c>
      <c r="F125" s="50">
        <f t="shared" ref="F125:F144" si="76">F$96+F$4/D$4/100</f>
        <v>2.5875000000000006E-2</v>
      </c>
      <c r="H125" s="14">
        <v>121</v>
      </c>
      <c r="I125" s="12">
        <v>41760</v>
      </c>
      <c r="J125" s="50">
        <f t="shared" ref="J125:J144" si="77">J$96+J$4/H$4/100</f>
        <v>2.4374999999999997E-2</v>
      </c>
      <c r="K125" s="4"/>
      <c r="L125" s="14">
        <v>121</v>
      </c>
      <c r="M125" s="12">
        <v>42125</v>
      </c>
      <c r="N125" s="50">
        <f>N$96+N$4/L$4/100</f>
        <v>2.0625000000000004E-2</v>
      </c>
      <c r="O125" s="141"/>
      <c r="P125" s="14">
        <v>121</v>
      </c>
      <c r="Q125" s="12">
        <v>41760</v>
      </c>
      <c r="R125" s="50">
        <f t="shared" ref="R125:R144" si="78">R$96+R$4/P$4/100</f>
        <v>1.9125000000000003E-2</v>
      </c>
      <c r="S125" s="4"/>
      <c r="T125" s="14">
        <v>121</v>
      </c>
      <c r="U125" s="12">
        <v>42125</v>
      </c>
      <c r="V125" s="50">
        <f>V$96+V$4/T$4/100</f>
        <v>1.9125000000000003E-2</v>
      </c>
      <c r="AA125" s="51">
        <v>121</v>
      </c>
      <c r="AB125" s="12">
        <v>41029</v>
      </c>
      <c r="AC125" s="15">
        <f t="shared" si="75"/>
        <v>2.4333333333333332E-2</v>
      </c>
      <c r="AI125" s="255">
        <v>121</v>
      </c>
      <c r="AJ125" s="258">
        <v>42125</v>
      </c>
      <c r="AK125" s="256">
        <f t="shared" si="69"/>
        <v>2.9666666666666668E-2</v>
      </c>
      <c r="AL125" s="253">
        <v>42491</v>
      </c>
      <c r="AM125" s="256">
        <f t="shared" si="66"/>
        <v>1.7000000000000001E-2</v>
      </c>
      <c r="AO125" s="258">
        <v>42125</v>
      </c>
      <c r="AP125" s="256">
        <f t="shared" si="67"/>
        <v>5.2666666666666667E-2</v>
      </c>
      <c r="AQ125" s="253">
        <v>42491</v>
      </c>
      <c r="AR125" s="256">
        <f t="shared" si="68"/>
        <v>1.5666666666666666E-2</v>
      </c>
      <c r="BD125" s="4">
        <f>'Рецепты а.б.'!B70</f>
        <v>0</v>
      </c>
    </row>
    <row r="126" spans="4:56" hidden="1" x14ac:dyDescent="0.2">
      <c r="D126" s="14">
        <v>122</v>
      </c>
      <c r="E126" s="12">
        <v>41396</v>
      </c>
      <c r="F126" s="15">
        <f t="shared" si="76"/>
        <v>2.5875000000000006E-2</v>
      </c>
      <c r="H126" s="14">
        <v>122</v>
      </c>
      <c r="I126" s="12">
        <v>41761</v>
      </c>
      <c r="J126" s="15">
        <f t="shared" si="77"/>
        <v>2.4374999999999997E-2</v>
      </c>
      <c r="K126" s="4"/>
      <c r="L126" s="14">
        <v>122</v>
      </c>
      <c r="M126" s="12">
        <v>42126</v>
      </c>
      <c r="N126" s="15">
        <f t="shared" ref="N126:N144" si="79">N$96+N$4/L$4/100</f>
        <v>2.0625000000000004E-2</v>
      </c>
      <c r="O126" s="141"/>
      <c r="P126" s="14">
        <v>122</v>
      </c>
      <c r="Q126" s="12">
        <v>41761</v>
      </c>
      <c r="R126" s="15">
        <f t="shared" si="78"/>
        <v>1.9125000000000003E-2</v>
      </c>
      <c r="S126" s="4"/>
      <c r="T126" s="14">
        <v>122</v>
      </c>
      <c r="U126" s="12">
        <v>42126</v>
      </c>
      <c r="V126" s="15">
        <f t="shared" ref="V126:V144" si="80">V$96+V$4/T$4/100</f>
        <v>1.9125000000000003E-2</v>
      </c>
      <c r="AA126" s="51">
        <v>122</v>
      </c>
      <c r="AB126" s="49">
        <v>41030</v>
      </c>
      <c r="AC126" s="50">
        <f t="shared" ref="AC126:AC144" si="81">AC$96+AC$4/AA$4/100</f>
        <v>2.7375E-2</v>
      </c>
      <c r="AI126" s="255">
        <v>122</v>
      </c>
      <c r="AJ126" s="253">
        <v>42126</v>
      </c>
      <c r="AK126" s="256">
        <f t="shared" si="69"/>
        <v>2.9666666666666668E-2</v>
      </c>
      <c r="AL126" s="253">
        <v>42492</v>
      </c>
      <c r="AM126" s="256">
        <f t="shared" si="66"/>
        <v>1.7000000000000001E-2</v>
      </c>
      <c r="AO126" s="253">
        <v>42126</v>
      </c>
      <c r="AP126" s="256">
        <f t="shared" si="67"/>
        <v>5.2666666666666667E-2</v>
      </c>
      <c r="AQ126" s="253">
        <v>42492</v>
      </c>
      <c r="AR126" s="256">
        <f t="shared" si="68"/>
        <v>1.5666666666666666E-2</v>
      </c>
      <c r="BD126" s="4">
        <f>'Рецепты а.б.'!B71</f>
        <v>0</v>
      </c>
    </row>
    <row r="127" spans="4:56" hidden="1" x14ac:dyDescent="0.2">
      <c r="D127" s="14">
        <v>123</v>
      </c>
      <c r="E127" s="12">
        <v>41397</v>
      </c>
      <c r="F127" s="15">
        <f t="shared" si="76"/>
        <v>2.5875000000000006E-2</v>
      </c>
      <c r="H127" s="14">
        <v>123</v>
      </c>
      <c r="I127" s="12">
        <v>41762</v>
      </c>
      <c r="J127" s="15">
        <f t="shared" si="77"/>
        <v>2.4374999999999997E-2</v>
      </c>
      <c r="K127" s="4"/>
      <c r="L127" s="14">
        <v>123</v>
      </c>
      <c r="M127" s="12">
        <v>42127</v>
      </c>
      <c r="N127" s="15">
        <f t="shared" si="79"/>
        <v>2.0625000000000004E-2</v>
      </c>
      <c r="O127" s="141"/>
      <c r="P127" s="14">
        <v>123</v>
      </c>
      <c r="Q127" s="12">
        <v>41762</v>
      </c>
      <c r="R127" s="15">
        <f t="shared" si="78"/>
        <v>1.9125000000000003E-2</v>
      </c>
      <c r="S127" s="4"/>
      <c r="T127" s="14">
        <v>123</v>
      </c>
      <c r="U127" s="12">
        <v>42127</v>
      </c>
      <c r="V127" s="15">
        <f t="shared" si="80"/>
        <v>1.9125000000000003E-2</v>
      </c>
      <c r="AA127" s="14">
        <v>123</v>
      </c>
      <c r="AB127" s="12">
        <v>41031</v>
      </c>
      <c r="AC127" s="15">
        <f t="shared" si="81"/>
        <v>2.7375E-2</v>
      </c>
      <c r="AI127" s="255">
        <v>123</v>
      </c>
      <c r="AJ127" s="253">
        <v>42127</v>
      </c>
      <c r="AK127" s="256">
        <f t="shared" si="69"/>
        <v>2.9666666666666668E-2</v>
      </c>
      <c r="AL127" s="253">
        <v>42493</v>
      </c>
      <c r="AM127" s="256">
        <f t="shared" si="66"/>
        <v>1.7000000000000001E-2</v>
      </c>
      <c r="AO127" s="253">
        <v>42127</v>
      </c>
      <c r="AP127" s="256">
        <f t="shared" si="67"/>
        <v>5.2666666666666667E-2</v>
      </c>
      <c r="AQ127" s="253">
        <v>42493</v>
      </c>
      <c r="AR127" s="256">
        <f t="shared" si="68"/>
        <v>1.5666666666666666E-2</v>
      </c>
      <c r="BD127" s="4">
        <f>'Рецепты а.б.'!B72</f>
        <v>0</v>
      </c>
    </row>
    <row r="128" spans="4:56" hidden="1" x14ac:dyDescent="0.2">
      <c r="D128" s="14">
        <v>124</v>
      </c>
      <c r="E128" s="12">
        <v>41398</v>
      </c>
      <c r="F128" s="15">
        <f t="shared" si="76"/>
        <v>2.5875000000000006E-2</v>
      </c>
      <c r="H128" s="14">
        <v>124</v>
      </c>
      <c r="I128" s="12">
        <v>41763</v>
      </c>
      <c r="J128" s="15">
        <f t="shared" si="77"/>
        <v>2.4374999999999997E-2</v>
      </c>
      <c r="K128" s="4"/>
      <c r="L128" s="14">
        <v>124</v>
      </c>
      <c r="M128" s="12">
        <v>42128</v>
      </c>
      <c r="N128" s="15">
        <f t="shared" si="79"/>
        <v>2.0625000000000004E-2</v>
      </c>
      <c r="O128" s="141"/>
      <c r="P128" s="14">
        <v>124</v>
      </c>
      <c r="Q128" s="12">
        <v>41763</v>
      </c>
      <c r="R128" s="15">
        <f t="shared" si="78"/>
        <v>1.9125000000000003E-2</v>
      </c>
      <c r="S128" s="4"/>
      <c r="T128" s="14">
        <v>124</v>
      </c>
      <c r="U128" s="12">
        <v>42128</v>
      </c>
      <c r="V128" s="15">
        <f t="shared" si="80"/>
        <v>1.9125000000000003E-2</v>
      </c>
      <c r="AA128" s="14">
        <v>124</v>
      </c>
      <c r="AB128" s="12">
        <v>41032</v>
      </c>
      <c r="AC128" s="15">
        <f t="shared" si="81"/>
        <v>2.7375E-2</v>
      </c>
      <c r="AI128" s="255">
        <v>124</v>
      </c>
      <c r="AJ128" s="253">
        <v>42128</v>
      </c>
      <c r="AK128" s="256">
        <f t="shared" si="69"/>
        <v>2.9666666666666668E-2</v>
      </c>
      <c r="AL128" s="253">
        <v>42494</v>
      </c>
      <c r="AM128" s="256">
        <f t="shared" si="66"/>
        <v>1.7000000000000001E-2</v>
      </c>
      <c r="AO128" s="253">
        <v>42128</v>
      </c>
      <c r="AP128" s="256">
        <f t="shared" si="67"/>
        <v>5.2666666666666667E-2</v>
      </c>
      <c r="AQ128" s="253">
        <v>42494</v>
      </c>
      <c r="AR128" s="256">
        <f t="shared" si="68"/>
        <v>1.5666666666666666E-2</v>
      </c>
      <c r="BD128" s="4">
        <f>'Рецепты а.б.'!B73</f>
        <v>0</v>
      </c>
    </row>
    <row r="129" spans="4:56" hidden="1" x14ac:dyDescent="0.2">
      <c r="D129" s="14">
        <v>125</v>
      </c>
      <c r="E129" s="12">
        <v>41399</v>
      </c>
      <c r="F129" s="15">
        <f t="shared" si="76"/>
        <v>2.5875000000000006E-2</v>
      </c>
      <c r="H129" s="14">
        <v>125</v>
      </c>
      <c r="I129" s="12">
        <v>41764</v>
      </c>
      <c r="J129" s="15">
        <f t="shared" si="77"/>
        <v>2.4374999999999997E-2</v>
      </c>
      <c r="K129" s="4"/>
      <c r="L129" s="14">
        <v>125</v>
      </c>
      <c r="M129" s="12">
        <v>42129</v>
      </c>
      <c r="N129" s="15">
        <f t="shared" si="79"/>
        <v>2.0625000000000004E-2</v>
      </c>
      <c r="O129" s="141"/>
      <c r="P129" s="14">
        <v>125</v>
      </c>
      <c r="Q129" s="12">
        <v>41764</v>
      </c>
      <c r="R129" s="15">
        <f t="shared" si="78"/>
        <v>1.9125000000000003E-2</v>
      </c>
      <c r="S129" s="4"/>
      <c r="T129" s="14">
        <v>125</v>
      </c>
      <c r="U129" s="12">
        <v>42129</v>
      </c>
      <c r="V129" s="15">
        <f t="shared" si="80"/>
        <v>1.9125000000000003E-2</v>
      </c>
      <c r="AA129" s="14">
        <v>125</v>
      </c>
      <c r="AB129" s="12">
        <v>41033</v>
      </c>
      <c r="AC129" s="15">
        <f t="shared" si="81"/>
        <v>2.7375E-2</v>
      </c>
      <c r="AI129" s="255">
        <v>125</v>
      </c>
      <c r="AJ129" s="253">
        <v>42129</v>
      </c>
      <c r="AK129" s="256">
        <f t="shared" si="69"/>
        <v>2.9666666666666668E-2</v>
      </c>
      <c r="AL129" s="253">
        <v>42495</v>
      </c>
      <c r="AM129" s="256">
        <f t="shared" si="66"/>
        <v>1.7000000000000001E-2</v>
      </c>
      <c r="AO129" s="253">
        <v>42129</v>
      </c>
      <c r="AP129" s="256">
        <f t="shared" si="67"/>
        <v>5.2666666666666667E-2</v>
      </c>
      <c r="AQ129" s="253">
        <v>42495</v>
      </c>
      <c r="AR129" s="256">
        <f t="shared" si="68"/>
        <v>1.5666666666666666E-2</v>
      </c>
      <c r="BD129" s="4">
        <f>'Рецепты а.б.'!B74</f>
        <v>0</v>
      </c>
    </row>
    <row r="130" spans="4:56" hidden="1" x14ac:dyDescent="0.2">
      <c r="D130" s="14">
        <v>126</v>
      </c>
      <c r="E130" s="12">
        <v>41400</v>
      </c>
      <c r="F130" s="15">
        <f t="shared" si="76"/>
        <v>2.5875000000000006E-2</v>
      </c>
      <c r="H130" s="14">
        <v>126</v>
      </c>
      <c r="I130" s="12">
        <v>41765</v>
      </c>
      <c r="J130" s="15">
        <f t="shared" si="77"/>
        <v>2.4374999999999997E-2</v>
      </c>
      <c r="K130" s="4"/>
      <c r="L130" s="14">
        <v>126</v>
      </c>
      <c r="M130" s="12">
        <v>42130</v>
      </c>
      <c r="N130" s="15">
        <f t="shared" si="79"/>
        <v>2.0625000000000004E-2</v>
      </c>
      <c r="O130" s="141"/>
      <c r="P130" s="14">
        <v>126</v>
      </c>
      <c r="Q130" s="12">
        <v>41765</v>
      </c>
      <c r="R130" s="15">
        <f t="shared" si="78"/>
        <v>1.9125000000000003E-2</v>
      </c>
      <c r="S130" s="4"/>
      <c r="T130" s="14">
        <v>126</v>
      </c>
      <c r="U130" s="12">
        <v>42130</v>
      </c>
      <c r="V130" s="15">
        <f t="shared" si="80"/>
        <v>1.9125000000000003E-2</v>
      </c>
      <c r="AA130" s="14">
        <v>126</v>
      </c>
      <c r="AB130" s="12">
        <v>41034</v>
      </c>
      <c r="AC130" s="15">
        <f t="shared" si="81"/>
        <v>2.7375E-2</v>
      </c>
      <c r="AI130" s="255">
        <v>126</v>
      </c>
      <c r="AJ130" s="253">
        <v>42130</v>
      </c>
      <c r="AK130" s="259">
        <f>AK$129+AK$4/AI$4/100</f>
        <v>3.7083333333333336E-2</v>
      </c>
      <c r="AL130" s="253">
        <v>42496</v>
      </c>
      <c r="AM130" s="259">
        <f t="shared" ref="AM130:AM160" si="82">AM$129+AM$4/AI$4/100</f>
        <v>2.1250000000000002E-2</v>
      </c>
      <c r="AO130" s="253">
        <v>42130</v>
      </c>
      <c r="AP130" s="259">
        <f t="shared" ref="AP130:AP160" si="83">AP$129+AP$4/$AI$4/100</f>
        <v>6.5833333333333327E-2</v>
      </c>
      <c r="AQ130" s="253">
        <v>42496</v>
      </c>
      <c r="AR130" s="259">
        <f t="shared" ref="AR130:AR160" si="84">AR$129+AR$4/$AI$4/100</f>
        <v>1.9583333333333331E-2</v>
      </c>
      <c r="BD130" s="4">
        <f>'Рецепты а.б.'!B75</f>
        <v>0</v>
      </c>
    </row>
    <row r="131" spans="4:56" hidden="1" x14ac:dyDescent="0.2">
      <c r="D131" s="14">
        <v>127</v>
      </c>
      <c r="E131" s="12">
        <v>41401</v>
      </c>
      <c r="F131" s="15">
        <f t="shared" si="76"/>
        <v>2.5875000000000006E-2</v>
      </c>
      <c r="H131" s="14">
        <v>127</v>
      </c>
      <c r="I131" s="12">
        <v>41766</v>
      </c>
      <c r="J131" s="15">
        <f t="shared" si="77"/>
        <v>2.4374999999999997E-2</v>
      </c>
      <c r="K131" s="4"/>
      <c r="L131" s="14">
        <v>127</v>
      </c>
      <c r="M131" s="12">
        <v>42131</v>
      </c>
      <c r="N131" s="15">
        <f t="shared" si="79"/>
        <v>2.0625000000000004E-2</v>
      </c>
      <c r="O131" s="141"/>
      <c r="P131" s="14">
        <v>127</v>
      </c>
      <c r="Q131" s="12">
        <v>41766</v>
      </c>
      <c r="R131" s="15">
        <f t="shared" si="78"/>
        <v>1.9125000000000003E-2</v>
      </c>
      <c r="S131" s="4"/>
      <c r="T131" s="14">
        <v>127</v>
      </c>
      <c r="U131" s="12">
        <v>42131</v>
      </c>
      <c r="V131" s="15">
        <f t="shared" si="80"/>
        <v>1.9125000000000003E-2</v>
      </c>
      <c r="AA131" s="14">
        <v>127</v>
      </c>
      <c r="AB131" s="12">
        <v>41035</v>
      </c>
      <c r="AC131" s="15">
        <f t="shared" si="81"/>
        <v>2.7375E-2</v>
      </c>
      <c r="AI131" s="255">
        <v>127</v>
      </c>
      <c r="AJ131" s="253">
        <v>42131</v>
      </c>
      <c r="AK131" s="256">
        <f t="shared" ref="AK131:AK160" si="85">AK$129+AK$4/AI$4/100</f>
        <v>3.7083333333333336E-2</v>
      </c>
      <c r="AL131" s="253">
        <v>42497</v>
      </c>
      <c r="AM131" s="256">
        <f t="shared" si="82"/>
        <v>2.1250000000000002E-2</v>
      </c>
      <c r="AO131" s="253">
        <v>42131</v>
      </c>
      <c r="AP131" s="256">
        <f t="shared" si="83"/>
        <v>6.5833333333333327E-2</v>
      </c>
      <c r="AQ131" s="253">
        <v>42497</v>
      </c>
      <c r="AR131" s="256">
        <f t="shared" si="84"/>
        <v>1.9583333333333331E-2</v>
      </c>
      <c r="BD131" s="4">
        <f>'Рецепты а.б.'!B76</f>
        <v>0</v>
      </c>
    </row>
    <row r="132" spans="4:56" hidden="1" x14ac:dyDescent="0.2">
      <c r="D132" s="14">
        <v>128</v>
      </c>
      <c r="E132" s="12">
        <v>41402</v>
      </c>
      <c r="F132" s="15">
        <f t="shared" si="76"/>
        <v>2.5875000000000006E-2</v>
      </c>
      <c r="H132" s="14">
        <v>128</v>
      </c>
      <c r="I132" s="12">
        <v>41767</v>
      </c>
      <c r="J132" s="15">
        <f t="shared" si="77"/>
        <v>2.4374999999999997E-2</v>
      </c>
      <c r="K132" s="4"/>
      <c r="L132" s="14">
        <v>128</v>
      </c>
      <c r="M132" s="12">
        <v>42132</v>
      </c>
      <c r="N132" s="15">
        <f t="shared" si="79"/>
        <v>2.0625000000000004E-2</v>
      </c>
      <c r="O132" s="141"/>
      <c r="P132" s="14">
        <v>128</v>
      </c>
      <c r="Q132" s="12">
        <v>41767</v>
      </c>
      <c r="R132" s="15">
        <f t="shared" si="78"/>
        <v>1.9125000000000003E-2</v>
      </c>
      <c r="S132" s="4"/>
      <c r="T132" s="14">
        <v>128</v>
      </c>
      <c r="U132" s="12">
        <v>42132</v>
      </c>
      <c r="V132" s="15">
        <f t="shared" si="80"/>
        <v>1.9125000000000003E-2</v>
      </c>
      <c r="AA132" s="14">
        <v>128</v>
      </c>
      <c r="AB132" s="12">
        <v>41036</v>
      </c>
      <c r="AC132" s="15">
        <f t="shared" si="81"/>
        <v>2.7375E-2</v>
      </c>
      <c r="AI132" s="255">
        <v>128</v>
      </c>
      <c r="AJ132" s="253">
        <v>42132</v>
      </c>
      <c r="AK132" s="256">
        <f t="shared" si="85"/>
        <v>3.7083333333333336E-2</v>
      </c>
      <c r="AL132" s="253">
        <v>42498</v>
      </c>
      <c r="AM132" s="256">
        <f t="shared" si="82"/>
        <v>2.1250000000000002E-2</v>
      </c>
      <c r="AO132" s="253">
        <v>42132</v>
      </c>
      <c r="AP132" s="256">
        <f t="shared" si="83"/>
        <v>6.5833333333333327E-2</v>
      </c>
      <c r="AQ132" s="253">
        <v>42498</v>
      </c>
      <c r="AR132" s="256">
        <f t="shared" si="84"/>
        <v>1.9583333333333331E-2</v>
      </c>
      <c r="BD132" s="4">
        <f>'Рецепты а.б.'!B77</f>
        <v>0</v>
      </c>
    </row>
    <row r="133" spans="4:56" hidden="1" x14ac:dyDescent="0.2">
      <c r="D133" s="14">
        <v>129</v>
      </c>
      <c r="E133" s="12">
        <v>41403</v>
      </c>
      <c r="F133" s="15">
        <f t="shared" si="76"/>
        <v>2.5875000000000006E-2</v>
      </c>
      <c r="H133" s="14">
        <v>129</v>
      </c>
      <c r="I133" s="12">
        <v>41768</v>
      </c>
      <c r="J133" s="15">
        <f t="shared" si="77"/>
        <v>2.4374999999999997E-2</v>
      </c>
      <c r="K133" s="4"/>
      <c r="L133" s="14">
        <v>129</v>
      </c>
      <c r="M133" s="12">
        <v>42133</v>
      </c>
      <c r="N133" s="15">
        <f t="shared" si="79"/>
        <v>2.0625000000000004E-2</v>
      </c>
      <c r="O133" s="141"/>
      <c r="P133" s="14">
        <v>129</v>
      </c>
      <c r="Q133" s="12">
        <v>41768</v>
      </c>
      <c r="R133" s="15">
        <f t="shared" si="78"/>
        <v>1.9125000000000003E-2</v>
      </c>
      <c r="S133" s="4"/>
      <c r="T133" s="14">
        <v>129</v>
      </c>
      <c r="U133" s="12">
        <v>42133</v>
      </c>
      <c r="V133" s="15">
        <f t="shared" si="80"/>
        <v>1.9125000000000003E-2</v>
      </c>
      <c r="AA133" s="14">
        <v>129</v>
      </c>
      <c r="AB133" s="12">
        <v>41037</v>
      </c>
      <c r="AC133" s="15">
        <f t="shared" si="81"/>
        <v>2.7375E-2</v>
      </c>
      <c r="AI133" s="255">
        <v>129</v>
      </c>
      <c r="AJ133" s="253">
        <v>42133</v>
      </c>
      <c r="AK133" s="256">
        <f t="shared" si="85"/>
        <v>3.7083333333333336E-2</v>
      </c>
      <c r="AL133" s="253">
        <v>42499</v>
      </c>
      <c r="AM133" s="256">
        <f t="shared" si="82"/>
        <v>2.1250000000000002E-2</v>
      </c>
      <c r="AO133" s="253">
        <v>42133</v>
      </c>
      <c r="AP133" s="256">
        <f t="shared" si="83"/>
        <v>6.5833333333333327E-2</v>
      </c>
      <c r="AQ133" s="253">
        <v>42499</v>
      </c>
      <c r="AR133" s="256">
        <f t="shared" si="84"/>
        <v>1.9583333333333331E-2</v>
      </c>
      <c r="BD133" s="4">
        <f>'Рецепты а.б.'!B78</f>
        <v>0</v>
      </c>
    </row>
    <row r="134" spans="4:56" hidden="1" x14ac:dyDescent="0.2">
      <c r="D134" s="14">
        <v>130</v>
      </c>
      <c r="E134" s="12">
        <v>41404</v>
      </c>
      <c r="F134" s="15">
        <f t="shared" si="76"/>
        <v>2.5875000000000006E-2</v>
      </c>
      <c r="H134" s="14">
        <v>130</v>
      </c>
      <c r="I134" s="12">
        <v>41769</v>
      </c>
      <c r="J134" s="15">
        <f t="shared" si="77"/>
        <v>2.4374999999999997E-2</v>
      </c>
      <c r="K134" s="4"/>
      <c r="L134" s="14">
        <v>130</v>
      </c>
      <c r="M134" s="12">
        <v>42134</v>
      </c>
      <c r="N134" s="15">
        <f t="shared" si="79"/>
        <v>2.0625000000000004E-2</v>
      </c>
      <c r="O134" s="141"/>
      <c r="P134" s="14">
        <v>130</v>
      </c>
      <c r="Q134" s="12">
        <v>41769</v>
      </c>
      <c r="R134" s="15">
        <f t="shared" si="78"/>
        <v>1.9125000000000003E-2</v>
      </c>
      <c r="S134" s="4"/>
      <c r="T134" s="14">
        <v>130</v>
      </c>
      <c r="U134" s="12">
        <v>42134</v>
      </c>
      <c r="V134" s="15">
        <f t="shared" si="80"/>
        <v>1.9125000000000003E-2</v>
      </c>
      <c r="AA134" s="14">
        <v>130</v>
      </c>
      <c r="AB134" s="12">
        <v>41038</v>
      </c>
      <c r="AC134" s="15">
        <f t="shared" si="81"/>
        <v>2.7375E-2</v>
      </c>
      <c r="AI134" s="255">
        <v>130</v>
      </c>
      <c r="AJ134" s="253">
        <v>42134</v>
      </c>
      <c r="AK134" s="256">
        <f t="shared" si="85"/>
        <v>3.7083333333333336E-2</v>
      </c>
      <c r="AL134" s="253">
        <v>42500</v>
      </c>
      <c r="AM134" s="256">
        <f t="shared" si="82"/>
        <v>2.1250000000000002E-2</v>
      </c>
      <c r="AO134" s="253">
        <v>42134</v>
      </c>
      <c r="AP134" s="256">
        <f t="shared" si="83"/>
        <v>6.5833333333333327E-2</v>
      </c>
      <c r="AQ134" s="253">
        <v>42500</v>
      </c>
      <c r="AR134" s="256">
        <f t="shared" si="84"/>
        <v>1.9583333333333331E-2</v>
      </c>
      <c r="BD134" s="4">
        <f>'Рецепты а.б.'!B79</f>
        <v>0</v>
      </c>
    </row>
    <row r="135" spans="4:56" hidden="1" x14ac:dyDescent="0.2">
      <c r="D135" s="14">
        <v>131</v>
      </c>
      <c r="E135" s="12">
        <v>41405</v>
      </c>
      <c r="F135" s="15">
        <f t="shared" si="76"/>
        <v>2.5875000000000006E-2</v>
      </c>
      <c r="H135" s="14">
        <v>131</v>
      </c>
      <c r="I135" s="12">
        <v>41770</v>
      </c>
      <c r="J135" s="15">
        <f t="shared" si="77"/>
        <v>2.4374999999999997E-2</v>
      </c>
      <c r="K135" s="4"/>
      <c r="L135" s="14">
        <v>131</v>
      </c>
      <c r="M135" s="12">
        <v>42135</v>
      </c>
      <c r="N135" s="15">
        <f t="shared" si="79"/>
        <v>2.0625000000000004E-2</v>
      </c>
      <c r="O135" s="141"/>
      <c r="P135" s="14">
        <v>131</v>
      </c>
      <c r="Q135" s="12">
        <v>41770</v>
      </c>
      <c r="R135" s="15">
        <f t="shared" si="78"/>
        <v>1.9125000000000003E-2</v>
      </c>
      <c r="S135" s="4"/>
      <c r="T135" s="14">
        <v>131</v>
      </c>
      <c r="U135" s="12">
        <v>42135</v>
      </c>
      <c r="V135" s="15">
        <f t="shared" si="80"/>
        <v>1.9125000000000003E-2</v>
      </c>
      <c r="AA135" s="14">
        <v>131</v>
      </c>
      <c r="AB135" s="12">
        <v>41039</v>
      </c>
      <c r="AC135" s="15">
        <f t="shared" si="81"/>
        <v>2.7375E-2</v>
      </c>
      <c r="AI135" s="255">
        <v>131</v>
      </c>
      <c r="AJ135" s="253">
        <v>42135</v>
      </c>
      <c r="AK135" s="256">
        <f t="shared" si="85"/>
        <v>3.7083333333333336E-2</v>
      </c>
      <c r="AL135" s="253">
        <v>42501</v>
      </c>
      <c r="AM135" s="256">
        <f t="shared" si="82"/>
        <v>2.1250000000000002E-2</v>
      </c>
      <c r="AO135" s="253">
        <v>42135</v>
      </c>
      <c r="AP135" s="256">
        <f t="shared" si="83"/>
        <v>6.5833333333333327E-2</v>
      </c>
      <c r="AQ135" s="253">
        <v>42501</v>
      </c>
      <c r="AR135" s="256">
        <f t="shared" si="84"/>
        <v>1.9583333333333331E-2</v>
      </c>
    </row>
    <row r="136" spans="4:56" hidden="1" x14ac:dyDescent="0.2">
      <c r="D136" s="14">
        <v>132</v>
      </c>
      <c r="E136" s="12">
        <v>41406</v>
      </c>
      <c r="F136" s="15">
        <f t="shared" si="76"/>
        <v>2.5875000000000006E-2</v>
      </c>
      <c r="H136" s="14">
        <v>132</v>
      </c>
      <c r="I136" s="12">
        <v>41771</v>
      </c>
      <c r="J136" s="15">
        <f t="shared" si="77"/>
        <v>2.4374999999999997E-2</v>
      </c>
      <c r="K136" s="4"/>
      <c r="L136" s="14">
        <v>132</v>
      </c>
      <c r="M136" s="12">
        <v>42136</v>
      </c>
      <c r="N136" s="15">
        <f t="shared" si="79"/>
        <v>2.0625000000000004E-2</v>
      </c>
      <c r="O136" s="141"/>
      <c r="P136" s="14">
        <v>132</v>
      </c>
      <c r="Q136" s="12">
        <v>41771</v>
      </c>
      <c r="R136" s="15">
        <f t="shared" si="78"/>
        <v>1.9125000000000003E-2</v>
      </c>
      <c r="S136" s="4"/>
      <c r="T136" s="14">
        <v>132</v>
      </c>
      <c r="U136" s="12">
        <v>42136</v>
      </c>
      <c r="V136" s="15">
        <f t="shared" si="80"/>
        <v>1.9125000000000003E-2</v>
      </c>
      <c r="AA136" s="14">
        <v>132</v>
      </c>
      <c r="AB136" s="12">
        <v>41040</v>
      </c>
      <c r="AC136" s="15">
        <f t="shared" si="81"/>
        <v>2.7375E-2</v>
      </c>
      <c r="AI136" s="255">
        <v>132</v>
      </c>
      <c r="AJ136" s="253">
        <v>42136</v>
      </c>
      <c r="AK136" s="256">
        <f t="shared" si="85"/>
        <v>3.7083333333333336E-2</v>
      </c>
      <c r="AL136" s="253">
        <v>42502</v>
      </c>
      <c r="AM136" s="256">
        <f t="shared" si="82"/>
        <v>2.1250000000000002E-2</v>
      </c>
      <c r="AO136" s="253">
        <v>42136</v>
      </c>
      <c r="AP136" s="256">
        <f t="shared" si="83"/>
        <v>6.5833333333333327E-2</v>
      </c>
      <c r="AQ136" s="253">
        <v>42502</v>
      </c>
      <c r="AR136" s="256">
        <f t="shared" si="84"/>
        <v>1.9583333333333331E-2</v>
      </c>
    </row>
    <row r="137" spans="4:56" hidden="1" x14ac:dyDescent="0.2">
      <c r="D137" s="14">
        <v>133</v>
      </c>
      <c r="E137" s="12">
        <v>41407</v>
      </c>
      <c r="F137" s="15">
        <f t="shared" si="76"/>
        <v>2.5875000000000006E-2</v>
      </c>
      <c r="H137" s="14">
        <v>133</v>
      </c>
      <c r="I137" s="12">
        <v>41772</v>
      </c>
      <c r="J137" s="15">
        <f t="shared" si="77"/>
        <v>2.4374999999999997E-2</v>
      </c>
      <c r="K137" s="4"/>
      <c r="L137" s="14">
        <v>133</v>
      </c>
      <c r="M137" s="12">
        <v>42137</v>
      </c>
      <c r="N137" s="15">
        <f t="shared" si="79"/>
        <v>2.0625000000000004E-2</v>
      </c>
      <c r="O137" s="141"/>
      <c r="P137" s="14">
        <v>133</v>
      </c>
      <c r="Q137" s="12">
        <v>41772</v>
      </c>
      <c r="R137" s="15">
        <f t="shared" si="78"/>
        <v>1.9125000000000003E-2</v>
      </c>
      <c r="S137" s="4"/>
      <c r="T137" s="14">
        <v>133</v>
      </c>
      <c r="U137" s="12">
        <v>42137</v>
      </c>
      <c r="V137" s="15">
        <f t="shared" si="80"/>
        <v>1.9125000000000003E-2</v>
      </c>
      <c r="AA137" s="14">
        <v>133</v>
      </c>
      <c r="AB137" s="12">
        <v>41041</v>
      </c>
      <c r="AC137" s="15">
        <f t="shared" si="81"/>
        <v>2.7375E-2</v>
      </c>
      <c r="AI137" s="255">
        <v>133</v>
      </c>
      <c r="AJ137" s="253">
        <v>42137</v>
      </c>
      <c r="AK137" s="256">
        <f t="shared" si="85"/>
        <v>3.7083333333333336E-2</v>
      </c>
      <c r="AL137" s="253">
        <v>42503</v>
      </c>
      <c r="AM137" s="256">
        <f t="shared" si="82"/>
        <v>2.1250000000000002E-2</v>
      </c>
      <c r="AO137" s="253">
        <v>42137</v>
      </c>
      <c r="AP137" s="256">
        <f t="shared" si="83"/>
        <v>6.5833333333333327E-2</v>
      </c>
      <c r="AQ137" s="253">
        <v>42503</v>
      </c>
      <c r="AR137" s="256">
        <f t="shared" si="84"/>
        <v>1.9583333333333331E-2</v>
      </c>
    </row>
    <row r="138" spans="4:56" hidden="1" x14ac:dyDescent="0.2">
      <c r="D138" s="14">
        <v>134</v>
      </c>
      <c r="E138" s="12">
        <v>41408</v>
      </c>
      <c r="F138" s="15">
        <f t="shared" si="76"/>
        <v>2.5875000000000006E-2</v>
      </c>
      <c r="H138" s="14">
        <v>134</v>
      </c>
      <c r="I138" s="12">
        <v>41773</v>
      </c>
      <c r="J138" s="15">
        <f t="shared" si="77"/>
        <v>2.4374999999999997E-2</v>
      </c>
      <c r="K138" s="4"/>
      <c r="L138" s="14">
        <v>134</v>
      </c>
      <c r="M138" s="12">
        <v>42138</v>
      </c>
      <c r="N138" s="15">
        <f t="shared" si="79"/>
        <v>2.0625000000000004E-2</v>
      </c>
      <c r="O138" s="141"/>
      <c r="P138" s="14">
        <v>134</v>
      </c>
      <c r="Q138" s="12">
        <v>41773</v>
      </c>
      <c r="R138" s="15">
        <f t="shared" si="78"/>
        <v>1.9125000000000003E-2</v>
      </c>
      <c r="S138" s="4"/>
      <c r="T138" s="14">
        <v>134</v>
      </c>
      <c r="U138" s="12">
        <v>42138</v>
      </c>
      <c r="V138" s="15">
        <f t="shared" si="80"/>
        <v>1.9125000000000003E-2</v>
      </c>
      <c r="AA138" s="14">
        <v>134</v>
      </c>
      <c r="AB138" s="12">
        <v>41042</v>
      </c>
      <c r="AC138" s="15">
        <f t="shared" si="81"/>
        <v>2.7375E-2</v>
      </c>
      <c r="AI138" s="255">
        <v>134</v>
      </c>
      <c r="AJ138" s="253">
        <v>42138</v>
      </c>
      <c r="AK138" s="256">
        <f t="shared" si="85"/>
        <v>3.7083333333333336E-2</v>
      </c>
      <c r="AL138" s="253">
        <v>42504</v>
      </c>
      <c r="AM138" s="256">
        <f t="shared" si="82"/>
        <v>2.1250000000000002E-2</v>
      </c>
      <c r="AO138" s="253">
        <v>42138</v>
      </c>
      <c r="AP138" s="256">
        <f t="shared" si="83"/>
        <v>6.5833333333333327E-2</v>
      </c>
      <c r="AQ138" s="253">
        <v>42504</v>
      </c>
      <c r="AR138" s="256">
        <f t="shared" si="84"/>
        <v>1.9583333333333331E-2</v>
      </c>
    </row>
    <row r="139" spans="4:56" hidden="1" x14ac:dyDescent="0.2">
      <c r="D139" s="14">
        <v>135</v>
      </c>
      <c r="E139" s="12">
        <v>41409</v>
      </c>
      <c r="F139" s="15">
        <f t="shared" si="76"/>
        <v>2.5875000000000006E-2</v>
      </c>
      <c r="H139" s="14">
        <v>135</v>
      </c>
      <c r="I139" s="12">
        <v>41774</v>
      </c>
      <c r="J139" s="15">
        <f t="shared" si="77"/>
        <v>2.4374999999999997E-2</v>
      </c>
      <c r="K139" s="4"/>
      <c r="L139" s="14">
        <v>135</v>
      </c>
      <c r="M139" s="12">
        <v>42139</v>
      </c>
      <c r="N139" s="15">
        <f t="shared" si="79"/>
        <v>2.0625000000000004E-2</v>
      </c>
      <c r="O139" s="141"/>
      <c r="P139" s="14">
        <v>135</v>
      </c>
      <c r="Q139" s="12">
        <v>41774</v>
      </c>
      <c r="R139" s="15">
        <f t="shared" si="78"/>
        <v>1.9125000000000003E-2</v>
      </c>
      <c r="S139" s="4"/>
      <c r="T139" s="14">
        <v>135</v>
      </c>
      <c r="U139" s="12">
        <v>42139</v>
      </c>
      <c r="V139" s="15">
        <f t="shared" si="80"/>
        <v>1.9125000000000003E-2</v>
      </c>
      <c r="AA139" s="14">
        <v>135</v>
      </c>
      <c r="AB139" s="12">
        <v>41043</v>
      </c>
      <c r="AC139" s="15">
        <f t="shared" si="81"/>
        <v>2.7375E-2</v>
      </c>
      <c r="AI139" s="255">
        <v>135</v>
      </c>
      <c r="AJ139" s="253">
        <v>42139</v>
      </c>
      <c r="AK139" s="256">
        <f t="shared" si="85"/>
        <v>3.7083333333333336E-2</v>
      </c>
      <c r="AL139" s="253">
        <v>42505</v>
      </c>
      <c r="AM139" s="256">
        <f t="shared" si="82"/>
        <v>2.1250000000000002E-2</v>
      </c>
      <c r="AO139" s="253">
        <v>42139</v>
      </c>
      <c r="AP139" s="256">
        <f t="shared" si="83"/>
        <v>6.5833333333333327E-2</v>
      </c>
      <c r="AQ139" s="253">
        <v>42505</v>
      </c>
      <c r="AR139" s="256">
        <f t="shared" si="84"/>
        <v>1.9583333333333331E-2</v>
      </c>
    </row>
    <row r="140" spans="4:56" hidden="1" x14ac:dyDescent="0.2">
      <c r="D140" s="14">
        <v>136</v>
      </c>
      <c r="E140" s="12">
        <v>41410</v>
      </c>
      <c r="F140" s="15">
        <f t="shared" si="76"/>
        <v>2.5875000000000006E-2</v>
      </c>
      <c r="H140" s="14">
        <v>136</v>
      </c>
      <c r="I140" s="12">
        <v>41775</v>
      </c>
      <c r="J140" s="15">
        <f t="shared" si="77"/>
        <v>2.4374999999999997E-2</v>
      </c>
      <c r="K140" s="4"/>
      <c r="L140" s="14">
        <v>136</v>
      </c>
      <c r="M140" s="12">
        <v>42140</v>
      </c>
      <c r="N140" s="15">
        <f t="shared" si="79"/>
        <v>2.0625000000000004E-2</v>
      </c>
      <c r="O140" s="141"/>
      <c r="P140" s="14">
        <v>136</v>
      </c>
      <c r="Q140" s="12">
        <v>41775</v>
      </c>
      <c r="R140" s="15">
        <f t="shared" si="78"/>
        <v>1.9125000000000003E-2</v>
      </c>
      <c r="S140" s="4"/>
      <c r="T140" s="14">
        <v>136</v>
      </c>
      <c r="U140" s="12">
        <v>42140</v>
      </c>
      <c r="V140" s="15">
        <f t="shared" si="80"/>
        <v>1.9125000000000003E-2</v>
      </c>
      <c r="AA140" s="14">
        <v>136</v>
      </c>
      <c r="AB140" s="12">
        <v>41044</v>
      </c>
      <c r="AC140" s="15">
        <f t="shared" si="81"/>
        <v>2.7375E-2</v>
      </c>
      <c r="AI140" s="255">
        <v>136</v>
      </c>
      <c r="AJ140" s="253">
        <v>42140</v>
      </c>
      <c r="AK140" s="256">
        <f t="shared" si="85"/>
        <v>3.7083333333333336E-2</v>
      </c>
      <c r="AL140" s="253">
        <v>42506</v>
      </c>
      <c r="AM140" s="256">
        <f t="shared" si="82"/>
        <v>2.1250000000000002E-2</v>
      </c>
      <c r="AO140" s="253">
        <v>42140</v>
      </c>
      <c r="AP140" s="256">
        <f t="shared" si="83"/>
        <v>6.5833333333333327E-2</v>
      </c>
      <c r="AQ140" s="253">
        <v>42506</v>
      </c>
      <c r="AR140" s="256">
        <f t="shared" si="84"/>
        <v>1.9583333333333331E-2</v>
      </c>
    </row>
    <row r="141" spans="4:56" hidden="1" x14ac:dyDescent="0.2">
      <c r="D141" s="14">
        <v>137</v>
      </c>
      <c r="E141" s="12">
        <v>41411</v>
      </c>
      <c r="F141" s="15">
        <f t="shared" si="76"/>
        <v>2.5875000000000006E-2</v>
      </c>
      <c r="H141" s="14">
        <v>137</v>
      </c>
      <c r="I141" s="12">
        <v>41776</v>
      </c>
      <c r="J141" s="15">
        <f t="shared" si="77"/>
        <v>2.4374999999999997E-2</v>
      </c>
      <c r="K141" s="4"/>
      <c r="L141" s="14">
        <v>137</v>
      </c>
      <c r="M141" s="12">
        <v>42141</v>
      </c>
      <c r="N141" s="15">
        <f t="shared" si="79"/>
        <v>2.0625000000000004E-2</v>
      </c>
      <c r="O141" s="141"/>
      <c r="P141" s="14">
        <v>137</v>
      </c>
      <c r="Q141" s="12">
        <v>41776</v>
      </c>
      <c r="R141" s="15">
        <f t="shared" si="78"/>
        <v>1.9125000000000003E-2</v>
      </c>
      <c r="S141" s="4"/>
      <c r="T141" s="14">
        <v>137</v>
      </c>
      <c r="U141" s="12">
        <v>42141</v>
      </c>
      <c r="V141" s="15">
        <f t="shared" si="80"/>
        <v>1.9125000000000003E-2</v>
      </c>
      <c r="AA141" s="14">
        <v>137</v>
      </c>
      <c r="AB141" s="12">
        <v>41045</v>
      </c>
      <c r="AC141" s="15">
        <f t="shared" si="81"/>
        <v>2.7375E-2</v>
      </c>
      <c r="AI141" s="255">
        <v>137</v>
      </c>
      <c r="AJ141" s="253">
        <v>42141</v>
      </c>
      <c r="AK141" s="256">
        <f t="shared" si="85"/>
        <v>3.7083333333333336E-2</v>
      </c>
      <c r="AL141" s="253">
        <v>42507</v>
      </c>
      <c r="AM141" s="256">
        <f t="shared" si="82"/>
        <v>2.1250000000000002E-2</v>
      </c>
      <c r="AO141" s="253">
        <v>42141</v>
      </c>
      <c r="AP141" s="256">
        <f t="shared" si="83"/>
        <v>6.5833333333333327E-2</v>
      </c>
      <c r="AQ141" s="253">
        <v>42507</v>
      </c>
      <c r="AR141" s="256">
        <f t="shared" si="84"/>
        <v>1.9583333333333331E-2</v>
      </c>
    </row>
    <row r="142" spans="4:56" hidden="1" x14ac:dyDescent="0.2">
      <c r="D142" s="14">
        <v>138</v>
      </c>
      <c r="E142" s="12">
        <v>41412</v>
      </c>
      <c r="F142" s="15">
        <f t="shared" si="76"/>
        <v>2.5875000000000006E-2</v>
      </c>
      <c r="H142" s="14">
        <v>138</v>
      </c>
      <c r="I142" s="12">
        <v>41777</v>
      </c>
      <c r="J142" s="15">
        <f t="shared" si="77"/>
        <v>2.4374999999999997E-2</v>
      </c>
      <c r="K142" s="4"/>
      <c r="L142" s="14">
        <v>138</v>
      </c>
      <c r="M142" s="12">
        <v>42142</v>
      </c>
      <c r="N142" s="15">
        <f t="shared" si="79"/>
        <v>2.0625000000000004E-2</v>
      </c>
      <c r="O142" s="141"/>
      <c r="P142" s="14">
        <v>138</v>
      </c>
      <c r="Q142" s="12">
        <v>41777</v>
      </c>
      <c r="R142" s="15">
        <f t="shared" si="78"/>
        <v>1.9125000000000003E-2</v>
      </c>
      <c r="S142" s="4"/>
      <c r="T142" s="14">
        <v>138</v>
      </c>
      <c r="U142" s="12">
        <v>42142</v>
      </c>
      <c r="V142" s="15">
        <f t="shared" si="80"/>
        <v>1.9125000000000003E-2</v>
      </c>
      <c r="AA142" s="14">
        <v>138</v>
      </c>
      <c r="AB142" s="12">
        <v>41046</v>
      </c>
      <c r="AC142" s="15">
        <f t="shared" si="81"/>
        <v>2.7375E-2</v>
      </c>
      <c r="AI142" s="255">
        <v>138</v>
      </c>
      <c r="AJ142" s="253">
        <v>42142</v>
      </c>
      <c r="AK142" s="256">
        <f t="shared" si="85"/>
        <v>3.7083333333333336E-2</v>
      </c>
      <c r="AL142" s="253">
        <v>42508</v>
      </c>
      <c r="AM142" s="256">
        <f t="shared" si="82"/>
        <v>2.1250000000000002E-2</v>
      </c>
      <c r="AO142" s="253">
        <v>42142</v>
      </c>
      <c r="AP142" s="256">
        <f t="shared" si="83"/>
        <v>6.5833333333333327E-2</v>
      </c>
      <c r="AQ142" s="253">
        <v>42508</v>
      </c>
      <c r="AR142" s="256">
        <f t="shared" si="84"/>
        <v>1.9583333333333331E-2</v>
      </c>
    </row>
    <row r="143" spans="4:56" hidden="1" x14ac:dyDescent="0.2">
      <c r="D143" s="14">
        <v>139</v>
      </c>
      <c r="E143" s="12">
        <v>41413</v>
      </c>
      <c r="F143" s="15">
        <f t="shared" si="76"/>
        <v>2.5875000000000006E-2</v>
      </c>
      <c r="H143" s="14">
        <v>139</v>
      </c>
      <c r="I143" s="12">
        <v>41778</v>
      </c>
      <c r="J143" s="15">
        <f t="shared" si="77"/>
        <v>2.4374999999999997E-2</v>
      </c>
      <c r="K143" s="4"/>
      <c r="L143" s="14">
        <v>139</v>
      </c>
      <c r="M143" s="12">
        <v>42143</v>
      </c>
      <c r="N143" s="15">
        <f t="shared" si="79"/>
        <v>2.0625000000000004E-2</v>
      </c>
      <c r="O143" s="141"/>
      <c r="P143" s="14">
        <v>139</v>
      </c>
      <c r="Q143" s="12">
        <v>41778</v>
      </c>
      <c r="R143" s="15">
        <f t="shared" si="78"/>
        <v>1.9125000000000003E-2</v>
      </c>
      <c r="S143" s="4"/>
      <c r="T143" s="14">
        <v>139</v>
      </c>
      <c r="U143" s="12">
        <v>42143</v>
      </c>
      <c r="V143" s="15">
        <f t="shared" si="80"/>
        <v>1.9125000000000003E-2</v>
      </c>
      <c r="AA143" s="14">
        <v>139</v>
      </c>
      <c r="AB143" s="12">
        <v>41047</v>
      </c>
      <c r="AC143" s="15">
        <f t="shared" si="81"/>
        <v>2.7375E-2</v>
      </c>
      <c r="AI143" s="255">
        <v>139</v>
      </c>
      <c r="AJ143" s="253">
        <v>42143</v>
      </c>
      <c r="AK143" s="256">
        <f t="shared" si="85"/>
        <v>3.7083333333333336E-2</v>
      </c>
      <c r="AL143" s="253">
        <v>42509</v>
      </c>
      <c r="AM143" s="256">
        <f t="shared" si="82"/>
        <v>2.1250000000000002E-2</v>
      </c>
      <c r="AO143" s="253">
        <v>42143</v>
      </c>
      <c r="AP143" s="256">
        <f t="shared" si="83"/>
        <v>6.5833333333333327E-2</v>
      </c>
      <c r="AQ143" s="253">
        <v>42509</v>
      </c>
      <c r="AR143" s="256">
        <f t="shared" si="84"/>
        <v>1.9583333333333331E-2</v>
      </c>
    </row>
    <row r="144" spans="4:56" hidden="1" x14ac:dyDescent="0.2">
      <c r="D144" s="14">
        <v>140</v>
      </c>
      <c r="E144" s="12">
        <v>41414</v>
      </c>
      <c r="F144" s="15">
        <f t="shared" si="76"/>
        <v>2.5875000000000006E-2</v>
      </c>
      <c r="H144" s="14">
        <v>140</v>
      </c>
      <c r="I144" s="12">
        <v>41779</v>
      </c>
      <c r="J144" s="15">
        <f t="shared" si="77"/>
        <v>2.4374999999999997E-2</v>
      </c>
      <c r="K144" s="4"/>
      <c r="L144" s="14">
        <v>140</v>
      </c>
      <c r="M144" s="12">
        <v>42144</v>
      </c>
      <c r="N144" s="15">
        <f t="shared" si="79"/>
        <v>2.0625000000000004E-2</v>
      </c>
      <c r="O144" s="141"/>
      <c r="P144" s="14">
        <v>140</v>
      </c>
      <c r="Q144" s="12">
        <v>41779</v>
      </c>
      <c r="R144" s="15">
        <f t="shared" si="78"/>
        <v>1.9125000000000003E-2</v>
      </c>
      <c r="S144" s="4"/>
      <c r="T144" s="14">
        <v>140</v>
      </c>
      <c r="U144" s="12">
        <v>42144</v>
      </c>
      <c r="V144" s="15">
        <f t="shared" si="80"/>
        <v>1.9125000000000003E-2</v>
      </c>
      <c r="AA144" s="14">
        <v>140</v>
      </c>
      <c r="AB144" s="12">
        <v>41048</v>
      </c>
      <c r="AC144" s="15">
        <f t="shared" si="81"/>
        <v>2.7375E-2</v>
      </c>
      <c r="AI144" s="255">
        <v>140</v>
      </c>
      <c r="AJ144" s="253">
        <v>42144</v>
      </c>
      <c r="AK144" s="256">
        <f t="shared" si="85"/>
        <v>3.7083333333333336E-2</v>
      </c>
      <c r="AL144" s="253">
        <v>42510</v>
      </c>
      <c r="AM144" s="256">
        <f t="shared" si="82"/>
        <v>2.1250000000000002E-2</v>
      </c>
      <c r="AO144" s="253">
        <v>42144</v>
      </c>
      <c r="AP144" s="256">
        <f t="shared" si="83"/>
        <v>6.5833333333333327E-2</v>
      </c>
      <c r="AQ144" s="253">
        <v>42510</v>
      </c>
      <c r="AR144" s="256">
        <f t="shared" si="84"/>
        <v>1.9583333333333331E-2</v>
      </c>
    </row>
    <row r="145" spans="4:44" hidden="1" x14ac:dyDescent="0.2">
      <c r="D145" s="14">
        <v>141</v>
      </c>
      <c r="E145" s="12">
        <v>41415</v>
      </c>
      <c r="F145" s="50">
        <f t="shared" ref="F145:F155" si="86">F$115+F$4/D$4/100</f>
        <v>2.8750000000000005E-2</v>
      </c>
      <c r="H145" s="14">
        <v>141</v>
      </c>
      <c r="I145" s="12">
        <v>41780</v>
      </c>
      <c r="J145" s="50">
        <f t="shared" ref="J145:J155" si="87">J$115+J$4/H$4/100</f>
        <v>2.7083333333333331E-2</v>
      </c>
      <c r="K145" s="4"/>
      <c r="L145" s="14">
        <v>141</v>
      </c>
      <c r="M145" s="12">
        <v>42145</v>
      </c>
      <c r="N145" s="50">
        <f>N$115+N$4/L$4/100</f>
        <v>2.2916666666666669E-2</v>
      </c>
      <c r="O145" s="141"/>
      <c r="P145" s="14">
        <v>141</v>
      </c>
      <c r="Q145" s="12">
        <v>41780</v>
      </c>
      <c r="R145" s="50">
        <f t="shared" ref="R145:R155" si="88">R$115+R$4/P$4/100</f>
        <v>2.1250000000000002E-2</v>
      </c>
      <c r="S145" s="4"/>
      <c r="T145" s="14">
        <v>141</v>
      </c>
      <c r="U145" s="12">
        <v>42145</v>
      </c>
      <c r="V145" s="50">
        <f>V$115+V$4/T$4/100</f>
        <v>2.1250000000000002E-2</v>
      </c>
      <c r="AA145" s="51">
        <v>141</v>
      </c>
      <c r="AB145" s="12">
        <v>41049</v>
      </c>
      <c r="AC145" s="15">
        <f>AC$96+AC$4/AA$4/100</f>
        <v>2.7375E-2</v>
      </c>
      <c r="AI145" s="255">
        <v>141</v>
      </c>
      <c r="AJ145" s="253">
        <v>42145</v>
      </c>
      <c r="AK145" s="256">
        <f t="shared" si="85"/>
        <v>3.7083333333333336E-2</v>
      </c>
      <c r="AL145" s="253">
        <v>42511</v>
      </c>
      <c r="AM145" s="256">
        <f t="shared" si="82"/>
        <v>2.1250000000000002E-2</v>
      </c>
      <c r="AO145" s="253">
        <v>42145</v>
      </c>
      <c r="AP145" s="256">
        <f t="shared" si="83"/>
        <v>6.5833333333333327E-2</v>
      </c>
      <c r="AQ145" s="253">
        <v>42511</v>
      </c>
      <c r="AR145" s="256">
        <f t="shared" si="84"/>
        <v>1.9583333333333331E-2</v>
      </c>
    </row>
    <row r="146" spans="4:44" hidden="1" x14ac:dyDescent="0.2">
      <c r="D146" s="14">
        <v>142</v>
      </c>
      <c r="E146" s="12">
        <v>41416</v>
      </c>
      <c r="F146" s="15">
        <f t="shared" si="86"/>
        <v>2.8750000000000005E-2</v>
      </c>
      <c r="H146" s="14">
        <v>142</v>
      </c>
      <c r="I146" s="12">
        <v>41781</v>
      </c>
      <c r="J146" s="15">
        <f t="shared" si="87"/>
        <v>2.7083333333333331E-2</v>
      </c>
      <c r="K146" s="4"/>
      <c r="L146" s="14">
        <v>142</v>
      </c>
      <c r="M146" s="12">
        <v>42146</v>
      </c>
      <c r="N146" s="15">
        <f t="shared" ref="N146:N155" si="89">N$115+N$4/L$4/100</f>
        <v>2.2916666666666669E-2</v>
      </c>
      <c r="O146" s="141"/>
      <c r="P146" s="14">
        <v>142</v>
      </c>
      <c r="Q146" s="12">
        <v>41781</v>
      </c>
      <c r="R146" s="15">
        <f t="shared" si="88"/>
        <v>2.1250000000000002E-2</v>
      </c>
      <c r="S146" s="4"/>
      <c r="T146" s="14">
        <v>142</v>
      </c>
      <c r="U146" s="12">
        <v>42146</v>
      </c>
      <c r="V146" s="15">
        <f t="shared" ref="V146:V155" si="90">V$115+V$4/T$4/100</f>
        <v>2.1250000000000002E-2</v>
      </c>
      <c r="AA146" s="51">
        <v>142</v>
      </c>
      <c r="AB146" s="49">
        <v>41050</v>
      </c>
      <c r="AC146" s="50">
        <f>AC$116+AC$4/AA$4/100</f>
        <v>3.0416666666666665E-2</v>
      </c>
      <c r="AI146" s="255">
        <v>142</v>
      </c>
      <c r="AJ146" s="253">
        <v>42146</v>
      </c>
      <c r="AK146" s="256">
        <f t="shared" si="85"/>
        <v>3.7083333333333336E-2</v>
      </c>
      <c r="AL146" s="253">
        <v>42512</v>
      </c>
      <c r="AM146" s="256">
        <f t="shared" si="82"/>
        <v>2.1250000000000002E-2</v>
      </c>
      <c r="AO146" s="253">
        <v>42146</v>
      </c>
      <c r="AP146" s="256">
        <f t="shared" si="83"/>
        <v>6.5833333333333327E-2</v>
      </c>
      <c r="AQ146" s="253">
        <v>42512</v>
      </c>
      <c r="AR146" s="256">
        <f t="shared" si="84"/>
        <v>1.9583333333333331E-2</v>
      </c>
    </row>
    <row r="147" spans="4:44" hidden="1" x14ac:dyDescent="0.2">
      <c r="D147" s="14">
        <v>143</v>
      </c>
      <c r="E147" s="12">
        <v>41417</v>
      </c>
      <c r="F147" s="15">
        <f t="shared" si="86"/>
        <v>2.8750000000000005E-2</v>
      </c>
      <c r="H147" s="14">
        <v>143</v>
      </c>
      <c r="I147" s="12">
        <v>41782</v>
      </c>
      <c r="J147" s="15">
        <f t="shared" si="87"/>
        <v>2.7083333333333331E-2</v>
      </c>
      <c r="K147" s="4"/>
      <c r="L147" s="14">
        <v>143</v>
      </c>
      <c r="M147" s="12">
        <v>42147</v>
      </c>
      <c r="N147" s="15">
        <f t="shared" si="89"/>
        <v>2.2916666666666669E-2</v>
      </c>
      <c r="O147" s="141"/>
      <c r="P147" s="14">
        <v>143</v>
      </c>
      <c r="Q147" s="12">
        <v>41782</v>
      </c>
      <c r="R147" s="15">
        <f t="shared" si="88"/>
        <v>2.1250000000000002E-2</v>
      </c>
      <c r="S147" s="4"/>
      <c r="T147" s="14">
        <v>143</v>
      </c>
      <c r="U147" s="12">
        <v>42147</v>
      </c>
      <c r="V147" s="15">
        <f t="shared" si="90"/>
        <v>2.1250000000000002E-2</v>
      </c>
      <c r="AA147" s="14">
        <v>143</v>
      </c>
      <c r="AB147" s="12">
        <v>41051</v>
      </c>
      <c r="AC147" s="15">
        <f t="shared" ref="AC147:AC156" si="91">AC$116+AC$4/AA$4/100</f>
        <v>3.0416666666666665E-2</v>
      </c>
      <c r="AI147" s="255">
        <v>143</v>
      </c>
      <c r="AJ147" s="253">
        <v>42147</v>
      </c>
      <c r="AK147" s="256">
        <f t="shared" si="85"/>
        <v>3.7083333333333336E-2</v>
      </c>
      <c r="AL147" s="253">
        <v>42513</v>
      </c>
      <c r="AM147" s="256">
        <f t="shared" si="82"/>
        <v>2.1250000000000002E-2</v>
      </c>
      <c r="AO147" s="253">
        <v>42147</v>
      </c>
      <c r="AP147" s="256">
        <f t="shared" si="83"/>
        <v>6.5833333333333327E-2</v>
      </c>
      <c r="AQ147" s="253">
        <v>42513</v>
      </c>
      <c r="AR147" s="256">
        <f t="shared" si="84"/>
        <v>1.9583333333333331E-2</v>
      </c>
    </row>
    <row r="148" spans="4:44" hidden="1" x14ac:dyDescent="0.2">
      <c r="D148" s="14">
        <v>144</v>
      </c>
      <c r="E148" s="12">
        <v>41418</v>
      </c>
      <c r="F148" s="15">
        <f t="shared" si="86"/>
        <v>2.8750000000000005E-2</v>
      </c>
      <c r="H148" s="14">
        <v>144</v>
      </c>
      <c r="I148" s="12">
        <v>41783</v>
      </c>
      <c r="J148" s="15">
        <f t="shared" si="87"/>
        <v>2.7083333333333331E-2</v>
      </c>
      <c r="K148" s="4"/>
      <c r="L148" s="14">
        <v>144</v>
      </c>
      <c r="M148" s="12">
        <v>42148</v>
      </c>
      <c r="N148" s="15">
        <f t="shared" si="89"/>
        <v>2.2916666666666669E-2</v>
      </c>
      <c r="O148" s="141"/>
      <c r="P148" s="14">
        <v>144</v>
      </c>
      <c r="Q148" s="12">
        <v>41783</v>
      </c>
      <c r="R148" s="15">
        <f t="shared" si="88"/>
        <v>2.1250000000000002E-2</v>
      </c>
      <c r="S148" s="4"/>
      <c r="T148" s="14">
        <v>144</v>
      </c>
      <c r="U148" s="12">
        <v>42148</v>
      </c>
      <c r="V148" s="15">
        <f t="shared" si="90"/>
        <v>2.1250000000000002E-2</v>
      </c>
      <c r="AA148" s="14">
        <v>144</v>
      </c>
      <c r="AB148" s="12">
        <v>41052</v>
      </c>
      <c r="AC148" s="15">
        <f t="shared" si="91"/>
        <v>3.0416666666666665E-2</v>
      </c>
      <c r="AI148" s="255">
        <v>144</v>
      </c>
      <c r="AJ148" s="253">
        <v>42148</v>
      </c>
      <c r="AK148" s="256">
        <f t="shared" si="85"/>
        <v>3.7083333333333336E-2</v>
      </c>
      <c r="AL148" s="253">
        <v>42514</v>
      </c>
      <c r="AM148" s="256">
        <f t="shared" si="82"/>
        <v>2.1250000000000002E-2</v>
      </c>
      <c r="AO148" s="253">
        <v>42148</v>
      </c>
      <c r="AP148" s="256">
        <f t="shared" si="83"/>
        <v>6.5833333333333327E-2</v>
      </c>
      <c r="AQ148" s="253">
        <v>42514</v>
      </c>
      <c r="AR148" s="256">
        <f t="shared" si="84"/>
        <v>1.9583333333333331E-2</v>
      </c>
    </row>
    <row r="149" spans="4:44" hidden="1" x14ac:dyDescent="0.2">
      <c r="D149" s="14">
        <v>145</v>
      </c>
      <c r="E149" s="12">
        <v>41419</v>
      </c>
      <c r="F149" s="15">
        <f t="shared" si="86"/>
        <v>2.8750000000000005E-2</v>
      </c>
      <c r="H149" s="14">
        <v>145</v>
      </c>
      <c r="I149" s="12">
        <v>41784</v>
      </c>
      <c r="J149" s="15">
        <f t="shared" si="87"/>
        <v>2.7083333333333331E-2</v>
      </c>
      <c r="K149" s="4"/>
      <c r="L149" s="14">
        <v>145</v>
      </c>
      <c r="M149" s="12">
        <v>42149</v>
      </c>
      <c r="N149" s="15">
        <f t="shared" si="89"/>
        <v>2.2916666666666669E-2</v>
      </c>
      <c r="O149" s="141"/>
      <c r="P149" s="14">
        <v>145</v>
      </c>
      <c r="Q149" s="12">
        <v>41784</v>
      </c>
      <c r="R149" s="15">
        <f t="shared" si="88"/>
        <v>2.1250000000000002E-2</v>
      </c>
      <c r="S149" s="4"/>
      <c r="T149" s="14">
        <v>145</v>
      </c>
      <c r="U149" s="12">
        <v>42149</v>
      </c>
      <c r="V149" s="15">
        <f t="shared" si="90"/>
        <v>2.1250000000000002E-2</v>
      </c>
      <c r="AA149" s="14">
        <v>145</v>
      </c>
      <c r="AB149" s="12">
        <v>41053</v>
      </c>
      <c r="AC149" s="15">
        <f t="shared" si="91"/>
        <v>3.0416666666666665E-2</v>
      </c>
      <c r="AI149" s="255">
        <v>145</v>
      </c>
      <c r="AJ149" s="253">
        <v>42149</v>
      </c>
      <c r="AK149" s="256">
        <f t="shared" si="85"/>
        <v>3.7083333333333336E-2</v>
      </c>
      <c r="AL149" s="253">
        <v>42515</v>
      </c>
      <c r="AM149" s="256">
        <f t="shared" si="82"/>
        <v>2.1250000000000002E-2</v>
      </c>
      <c r="AO149" s="253">
        <v>42149</v>
      </c>
      <c r="AP149" s="256">
        <f t="shared" si="83"/>
        <v>6.5833333333333327E-2</v>
      </c>
      <c r="AQ149" s="253">
        <v>42515</v>
      </c>
      <c r="AR149" s="256">
        <f t="shared" si="84"/>
        <v>1.9583333333333331E-2</v>
      </c>
    </row>
    <row r="150" spans="4:44" hidden="1" x14ac:dyDescent="0.2">
      <c r="D150" s="14">
        <v>146</v>
      </c>
      <c r="E150" s="12">
        <v>41420</v>
      </c>
      <c r="F150" s="15">
        <f t="shared" si="86"/>
        <v>2.8750000000000005E-2</v>
      </c>
      <c r="H150" s="14">
        <v>146</v>
      </c>
      <c r="I150" s="12">
        <v>41785</v>
      </c>
      <c r="J150" s="15">
        <f t="shared" si="87"/>
        <v>2.7083333333333331E-2</v>
      </c>
      <c r="K150" s="4"/>
      <c r="L150" s="14">
        <v>146</v>
      </c>
      <c r="M150" s="12">
        <v>42150</v>
      </c>
      <c r="N150" s="15">
        <f t="shared" si="89"/>
        <v>2.2916666666666669E-2</v>
      </c>
      <c r="O150" s="141"/>
      <c r="P150" s="14">
        <v>146</v>
      </c>
      <c r="Q150" s="12">
        <v>41785</v>
      </c>
      <c r="R150" s="15">
        <f t="shared" si="88"/>
        <v>2.1250000000000002E-2</v>
      </c>
      <c r="S150" s="4"/>
      <c r="T150" s="14">
        <v>146</v>
      </c>
      <c r="U150" s="12">
        <v>42150</v>
      </c>
      <c r="V150" s="15">
        <f t="shared" si="90"/>
        <v>2.1250000000000002E-2</v>
      </c>
      <c r="AA150" s="14">
        <v>146</v>
      </c>
      <c r="AB150" s="12">
        <v>41054</v>
      </c>
      <c r="AC150" s="15">
        <f t="shared" si="91"/>
        <v>3.0416666666666665E-2</v>
      </c>
      <c r="AI150" s="255">
        <v>146</v>
      </c>
      <c r="AJ150" s="253">
        <v>42150</v>
      </c>
      <c r="AK150" s="256">
        <f t="shared" si="85"/>
        <v>3.7083333333333336E-2</v>
      </c>
      <c r="AL150" s="253">
        <v>42516</v>
      </c>
      <c r="AM150" s="256">
        <f t="shared" si="82"/>
        <v>2.1250000000000002E-2</v>
      </c>
      <c r="AO150" s="253">
        <v>42150</v>
      </c>
      <c r="AP150" s="256">
        <f t="shared" si="83"/>
        <v>6.5833333333333327E-2</v>
      </c>
      <c r="AQ150" s="253">
        <v>42516</v>
      </c>
      <c r="AR150" s="256">
        <f t="shared" si="84"/>
        <v>1.9583333333333331E-2</v>
      </c>
    </row>
    <row r="151" spans="4:44" hidden="1" x14ac:dyDescent="0.2">
      <c r="D151" s="14">
        <v>147</v>
      </c>
      <c r="E151" s="12">
        <v>41421</v>
      </c>
      <c r="F151" s="15">
        <f t="shared" si="86"/>
        <v>2.8750000000000005E-2</v>
      </c>
      <c r="H151" s="14">
        <v>147</v>
      </c>
      <c r="I151" s="12">
        <v>41786</v>
      </c>
      <c r="J151" s="15">
        <f t="shared" si="87"/>
        <v>2.7083333333333331E-2</v>
      </c>
      <c r="K151" s="4"/>
      <c r="L151" s="14">
        <v>147</v>
      </c>
      <c r="M151" s="12">
        <v>42151</v>
      </c>
      <c r="N151" s="15">
        <f t="shared" si="89"/>
        <v>2.2916666666666669E-2</v>
      </c>
      <c r="O151" s="141"/>
      <c r="P151" s="14">
        <v>147</v>
      </c>
      <c r="Q151" s="12">
        <v>41786</v>
      </c>
      <c r="R151" s="15">
        <f t="shared" si="88"/>
        <v>2.1250000000000002E-2</v>
      </c>
      <c r="S151" s="4"/>
      <c r="T151" s="14">
        <v>147</v>
      </c>
      <c r="U151" s="12">
        <v>42151</v>
      </c>
      <c r="V151" s="15">
        <f t="shared" si="90"/>
        <v>2.1250000000000002E-2</v>
      </c>
      <c r="AA151" s="14">
        <v>147</v>
      </c>
      <c r="AB151" s="12">
        <v>41055</v>
      </c>
      <c r="AC151" s="15">
        <f t="shared" si="91"/>
        <v>3.0416666666666665E-2</v>
      </c>
      <c r="AI151" s="255">
        <v>147</v>
      </c>
      <c r="AJ151" s="253">
        <v>42151</v>
      </c>
      <c r="AK151" s="256">
        <f t="shared" si="85"/>
        <v>3.7083333333333336E-2</v>
      </c>
      <c r="AL151" s="253">
        <v>42517</v>
      </c>
      <c r="AM151" s="256">
        <f t="shared" si="82"/>
        <v>2.1250000000000002E-2</v>
      </c>
      <c r="AO151" s="253">
        <v>42151</v>
      </c>
      <c r="AP151" s="256">
        <f t="shared" si="83"/>
        <v>6.5833333333333327E-2</v>
      </c>
      <c r="AQ151" s="253">
        <v>42517</v>
      </c>
      <c r="AR151" s="256">
        <f t="shared" si="84"/>
        <v>1.9583333333333331E-2</v>
      </c>
    </row>
    <row r="152" spans="4:44" hidden="1" x14ac:dyDescent="0.2">
      <c r="D152" s="14">
        <v>148</v>
      </c>
      <c r="E152" s="12">
        <v>41422</v>
      </c>
      <c r="F152" s="15">
        <f t="shared" si="86"/>
        <v>2.8750000000000005E-2</v>
      </c>
      <c r="H152" s="14">
        <v>148</v>
      </c>
      <c r="I152" s="12">
        <v>41787</v>
      </c>
      <c r="J152" s="15">
        <f t="shared" si="87"/>
        <v>2.7083333333333331E-2</v>
      </c>
      <c r="K152" s="4"/>
      <c r="L152" s="14">
        <v>148</v>
      </c>
      <c r="M152" s="12">
        <v>42152</v>
      </c>
      <c r="N152" s="15">
        <f t="shared" si="89"/>
        <v>2.2916666666666669E-2</v>
      </c>
      <c r="O152" s="141"/>
      <c r="P152" s="14">
        <v>148</v>
      </c>
      <c r="Q152" s="12">
        <v>41787</v>
      </c>
      <c r="R152" s="15">
        <f t="shared" si="88"/>
        <v>2.1250000000000002E-2</v>
      </c>
      <c r="S152" s="4"/>
      <c r="T152" s="14">
        <v>148</v>
      </c>
      <c r="U152" s="12">
        <v>42152</v>
      </c>
      <c r="V152" s="15">
        <f t="shared" si="90"/>
        <v>2.1250000000000002E-2</v>
      </c>
      <c r="AA152" s="14">
        <v>148</v>
      </c>
      <c r="AB152" s="12">
        <v>41056</v>
      </c>
      <c r="AC152" s="15">
        <f t="shared" si="91"/>
        <v>3.0416666666666665E-2</v>
      </c>
      <c r="AI152" s="255">
        <v>148</v>
      </c>
      <c r="AJ152" s="253">
        <v>42152</v>
      </c>
      <c r="AK152" s="256">
        <f t="shared" si="85"/>
        <v>3.7083333333333336E-2</v>
      </c>
      <c r="AL152" s="253">
        <v>42518</v>
      </c>
      <c r="AM152" s="256">
        <f t="shared" si="82"/>
        <v>2.1250000000000002E-2</v>
      </c>
      <c r="AO152" s="253">
        <v>42152</v>
      </c>
      <c r="AP152" s="256">
        <f t="shared" si="83"/>
        <v>6.5833333333333327E-2</v>
      </c>
      <c r="AQ152" s="253">
        <v>42518</v>
      </c>
      <c r="AR152" s="256">
        <f t="shared" si="84"/>
        <v>1.9583333333333331E-2</v>
      </c>
    </row>
    <row r="153" spans="4:44" hidden="1" x14ac:dyDescent="0.2">
      <c r="D153" s="14">
        <v>149</v>
      </c>
      <c r="E153" s="12">
        <v>41423</v>
      </c>
      <c r="F153" s="15">
        <f t="shared" si="86"/>
        <v>2.8750000000000005E-2</v>
      </c>
      <c r="H153" s="14">
        <v>149</v>
      </c>
      <c r="I153" s="12">
        <v>41788</v>
      </c>
      <c r="J153" s="15">
        <f t="shared" si="87"/>
        <v>2.7083333333333331E-2</v>
      </c>
      <c r="K153" s="4"/>
      <c r="L153" s="14">
        <v>149</v>
      </c>
      <c r="M153" s="12">
        <v>42153</v>
      </c>
      <c r="N153" s="15">
        <f t="shared" si="89"/>
        <v>2.2916666666666669E-2</v>
      </c>
      <c r="O153" s="141"/>
      <c r="P153" s="14">
        <v>149</v>
      </c>
      <c r="Q153" s="12">
        <v>41788</v>
      </c>
      <c r="R153" s="15">
        <f t="shared" si="88"/>
        <v>2.1250000000000002E-2</v>
      </c>
      <c r="S153" s="4"/>
      <c r="T153" s="14">
        <v>149</v>
      </c>
      <c r="U153" s="12">
        <v>42153</v>
      </c>
      <c r="V153" s="15">
        <f t="shared" si="90"/>
        <v>2.1250000000000002E-2</v>
      </c>
      <c r="AA153" s="14">
        <v>149</v>
      </c>
      <c r="AB153" s="12">
        <v>41057</v>
      </c>
      <c r="AC153" s="15">
        <f t="shared" si="91"/>
        <v>3.0416666666666665E-2</v>
      </c>
      <c r="AI153" s="255">
        <v>149</v>
      </c>
      <c r="AJ153" s="253">
        <v>42153</v>
      </c>
      <c r="AK153" s="256">
        <f t="shared" si="85"/>
        <v>3.7083333333333336E-2</v>
      </c>
      <c r="AL153" s="253">
        <v>42519</v>
      </c>
      <c r="AM153" s="256">
        <f t="shared" si="82"/>
        <v>2.1250000000000002E-2</v>
      </c>
      <c r="AO153" s="253">
        <v>42153</v>
      </c>
      <c r="AP153" s="256">
        <f t="shared" si="83"/>
        <v>6.5833333333333327E-2</v>
      </c>
      <c r="AQ153" s="253">
        <v>42519</v>
      </c>
      <c r="AR153" s="256">
        <f t="shared" si="84"/>
        <v>1.9583333333333331E-2</v>
      </c>
    </row>
    <row r="154" spans="4:44" hidden="1" x14ac:dyDescent="0.2">
      <c r="D154" s="14">
        <v>150</v>
      </c>
      <c r="E154" s="12">
        <v>41424</v>
      </c>
      <c r="F154" s="15">
        <f t="shared" si="86"/>
        <v>2.8750000000000005E-2</v>
      </c>
      <c r="H154" s="14">
        <v>150</v>
      </c>
      <c r="I154" s="12">
        <v>41789</v>
      </c>
      <c r="J154" s="15">
        <f t="shared" si="87"/>
        <v>2.7083333333333331E-2</v>
      </c>
      <c r="K154" s="4"/>
      <c r="L154" s="14">
        <v>150</v>
      </c>
      <c r="M154" s="12">
        <v>42154</v>
      </c>
      <c r="N154" s="15">
        <f t="shared" si="89"/>
        <v>2.2916666666666669E-2</v>
      </c>
      <c r="O154" s="141"/>
      <c r="P154" s="14">
        <v>150</v>
      </c>
      <c r="Q154" s="12">
        <v>41789</v>
      </c>
      <c r="R154" s="15">
        <f t="shared" si="88"/>
        <v>2.1250000000000002E-2</v>
      </c>
      <c r="S154" s="4"/>
      <c r="T154" s="14">
        <v>150</v>
      </c>
      <c r="U154" s="12">
        <v>42154</v>
      </c>
      <c r="V154" s="15">
        <f t="shared" si="90"/>
        <v>2.1250000000000002E-2</v>
      </c>
      <c r="AA154" s="14">
        <v>150</v>
      </c>
      <c r="AB154" s="12">
        <v>41058</v>
      </c>
      <c r="AC154" s="15">
        <f t="shared" si="91"/>
        <v>3.0416666666666665E-2</v>
      </c>
      <c r="AI154" s="255">
        <v>150</v>
      </c>
      <c r="AJ154" s="253">
        <v>42154</v>
      </c>
      <c r="AK154" s="256">
        <f t="shared" si="85"/>
        <v>3.7083333333333336E-2</v>
      </c>
      <c r="AL154" s="253">
        <v>42520</v>
      </c>
      <c r="AM154" s="256">
        <f t="shared" si="82"/>
        <v>2.1250000000000002E-2</v>
      </c>
      <c r="AO154" s="253">
        <v>42154</v>
      </c>
      <c r="AP154" s="256">
        <f t="shared" si="83"/>
        <v>6.5833333333333327E-2</v>
      </c>
      <c r="AQ154" s="253">
        <v>42520</v>
      </c>
      <c r="AR154" s="256">
        <f t="shared" si="84"/>
        <v>1.9583333333333331E-2</v>
      </c>
    </row>
    <row r="155" spans="4:44" hidden="1" x14ac:dyDescent="0.2">
      <c r="D155" s="14">
        <v>151</v>
      </c>
      <c r="E155" s="12">
        <v>41425</v>
      </c>
      <c r="F155" s="15">
        <f t="shared" si="86"/>
        <v>2.8750000000000005E-2</v>
      </c>
      <c r="H155" s="14">
        <v>151</v>
      </c>
      <c r="I155" s="12">
        <v>41790</v>
      </c>
      <c r="J155" s="15">
        <f t="shared" si="87"/>
        <v>2.7083333333333331E-2</v>
      </c>
      <c r="K155" s="4"/>
      <c r="L155" s="14">
        <v>151</v>
      </c>
      <c r="M155" s="12">
        <v>42155</v>
      </c>
      <c r="N155" s="15">
        <f t="shared" si="89"/>
        <v>2.2916666666666669E-2</v>
      </c>
      <c r="O155" s="141"/>
      <c r="P155" s="14">
        <v>151</v>
      </c>
      <c r="Q155" s="12">
        <v>41790</v>
      </c>
      <c r="R155" s="15">
        <f t="shared" si="88"/>
        <v>2.1250000000000002E-2</v>
      </c>
      <c r="S155" s="4"/>
      <c r="T155" s="14">
        <v>151</v>
      </c>
      <c r="U155" s="12">
        <v>42155</v>
      </c>
      <c r="V155" s="15">
        <f t="shared" si="90"/>
        <v>2.1250000000000002E-2</v>
      </c>
      <c r="AA155" s="14">
        <v>151</v>
      </c>
      <c r="AB155" s="12">
        <v>41059</v>
      </c>
      <c r="AC155" s="15">
        <f t="shared" si="91"/>
        <v>3.0416666666666665E-2</v>
      </c>
      <c r="AI155" s="255">
        <v>151</v>
      </c>
      <c r="AJ155" s="253">
        <v>42155</v>
      </c>
      <c r="AK155" s="256">
        <f t="shared" si="85"/>
        <v>3.7083333333333336E-2</v>
      </c>
      <c r="AL155" s="253">
        <v>42521</v>
      </c>
      <c r="AM155" s="256">
        <f t="shared" si="82"/>
        <v>2.1250000000000002E-2</v>
      </c>
      <c r="AO155" s="253">
        <v>42155</v>
      </c>
      <c r="AP155" s="256">
        <f t="shared" si="83"/>
        <v>6.5833333333333327E-2</v>
      </c>
      <c r="AQ155" s="253">
        <v>42521</v>
      </c>
      <c r="AR155" s="256">
        <f t="shared" si="84"/>
        <v>1.9583333333333331E-2</v>
      </c>
    </row>
    <row r="156" spans="4:44" hidden="1" x14ac:dyDescent="0.2">
      <c r="D156" s="14">
        <v>152</v>
      </c>
      <c r="E156" s="12">
        <v>41426</v>
      </c>
      <c r="F156" s="50">
        <f t="shared" ref="F156:F175" si="92">F$125+F$4/D$4/100</f>
        <v>3.1625000000000007E-2</v>
      </c>
      <c r="H156" s="14">
        <v>152</v>
      </c>
      <c r="I156" s="12">
        <v>41791</v>
      </c>
      <c r="J156" s="50">
        <f t="shared" ref="J156:J175" si="93">J$125+J$4/H$4/100</f>
        <v>2.9791666666666664E-2</v>
      </c>
      <c r="K156" s="4"/>
      <c r="L156" s="14">
        <v>152</v>
      </c>
      <c r="M156" s="12">
        <v>42156</v>
      </c>
      <c r="N156" s="50">
        <f>N$125+N$4/L$4/100</f>
        <v>2.520833333333334E-2</v>
      </c>
      <c r="O156" s="141"/>
      <c r="P156" s="14">
        <v>152</v>
      </c>
      <c r="Q156" s="12">
        <v>41791</v>
      </c>
      <c r="R156" s="50">
        <f t="shared" ref="R156:R175" si="94">R$125+R$4/P$4/100</f>
        <v>2.3375000000000003E-2</v>
      </c>
      <c r="S156" s="4"/>
      <c r="T156" s="14">
        <v>152</v>
      </c>
      <c r="U156" s="12">
        <v>42156</v>
      </c>
      <c r="V156" s="50">
        <f>V$125+V$4/T$4/100</f>
        <v>2.3375000000000003E-2</v>
      </c>
      <c r="AA156" s="51">
        <v>152</v>
      </c>
      <c r="AB156" s="12">
        <v>41060</v>
      </c>
      <c r="AC156" s="15">
        <f t="shared" si="91"/>
        <v>3.0416666666666665E-2</v>
      </c>
      <c r="AI156" s="255">
        <v>152</v>
      </c>
      <c r="AJ156" s="258">
        <v>42156</v>
      </c>
      <c r="AK156" s="256">
        <f t="shared" si="85"/>
        <v>3.7083333333333336E-2</v>
      </c>
      <c r="AL156" s="253">
        <v>42522</v>
      </c>
      <c r="AM156" s="256">
        <f t="shared" si="82"/>
        <v>2.1250000000000002E-2</v>
      </c>
      <c r="AO156" s="258">
        <v>42156</v>
      </c>
      <c r="AP156" s="256">
        <f t="shared" si="83"/>
        <v>6.5833333333333327E-2</v>
      </c>
      <c r="AQ156" s="253">
        <v>42522</v>
      </c>
      <c r="AR156" s="256">
        <f t="shared" si="84"/>
        <v>1.9583333333333331E-2</v>
      </c>
    </row>
    <row r="157" spans="4:44" hidden="1" x14ac:dyDescent="0.2">
      <c r="D157" s="14">
        <v>153</v>
      </c>
      <c r="E157" s="12">
        <v>41427</v>
      </c>
      <c r="F157" s="15">
        <f t="shared" si="92"/>
        <v>3.1625000000000007E-2</v>
      </c>
      <c r="H157" s="14">
        <v>153</v>
      </c>
      <c r="I157" s="12">
        <v>41792</v>
      </c>
      <c r="J157" s="15">
        <f t="shared" si="93"/>
        <v>2.9791666666666664E-2</v>
      </c>
      <c r="K157" s="4"/>
      <c r="L157" s="14">
        <v>153</v>
      </c>
      <c r="M157" s="12">
        <v>42157</v>
      </c>
      <c r="N157" s="15">
        <f t="shared" ref="N157:N175" si="95">N$125+N$4/L$4/100</f>
        <v>2.520833333333334E-2</v>
      </c>
      <c r="O157" s="141"/>
      <c r="P157" s="14">
        <v>153</v>
      </c>
      <c r="Q157" s="12">
        <v>41792</v>
      </c>
      <c r="R157" s="15">
        <f t="shared" si="94"/>
        <v>2.3375000000000003E-2</v>
      </c>
      <c r="S157" s="4"/>
      <c r="T157" s="14">
        <v>153</v>
      </c>
      <c r="U157" s="12">
        <v>42157</v>
      </c>
      <c r="V157" s="15">
        <f t="shared" ref="V157:V175" si="96">V$125+V$4/T$4/100</f>
        <v>2.3375000000000003E-2</v>
      </c>
      <c r="AA157" s="51">
        <v>153</v>
      </c>
      <c r="AB157" s="49">
        <v>41061</v>
      </c>
      <c r="AC157" s="50">
        <f>AC$126+AC$4/AA$4/100</f>
        <v>3.3458333333333333E-2</v>
      </c>
      <c r="AI157" s="255">
        <v>153</v>
      </c>
      <c r="AJ157" s="253">
        <v>42157</v>
      </c>
      <c r="AK157" s="256">
        <f t="shared" si="85"/>
        <v>3.7083333333333336E-2</v>
      </c>
      <c r="AL157" s="253">
        <v>42523</v>
      </c>
      <c r="AM157" s="256">
        <f t="shared" si="82"/>
        <v>2.1250000000000002E-2</v>
      </c>
      <c r="AO157" s="253">
        <v>42157</v>
      </c>
      <c r="AP157" s="256">
        <f t="shared" si="83"/>
        <v>6.5833333333333327E-2</v>
      </c>
      <c r="AQ157" s="253">
        <v>42523</v>
      </c>
      <c r="AR157" s="256">
        <f t="shared" si="84"/>
        <v>1.9583333333333331E-2</v>
      </c>
    </row>
    <row r="158" spans="4:44" hidden="1" x14ac:dyDescent="0.2">
      <c r="D158" s="14">
        <v>154</v>
      </c>
      <c r="E158" s="12">
        <v>41428</v>
      </c>
      <c r="F158" s="15">
        <f t="shared" si="92"/>
        <v>3.1625000000000007E-2</v>
      </c>
      <c r="H158" s="14">
        <v>154</v>
      </c>
      <c r="I158" s="12">
        <v>41793</v>
      </c>
      <c r="J158" s="15">
        <f t="shared" si="93"/>
        <v>2.9791666666666664E-2</v>
      </c>
      <c r="K158" s="4"/>
      <c r="L158" s="14">
        <v>154</v>
      </c>
      <c r="M158" s="12">
        <v>42158</v>
      </c>
      <c r="N158" s="15">
        <f t="shared" si="95"/>
        <v>2.520833333333334E-2</v>
      </c>
      <c r="O158" s="141"/>
      <c r="P158" s="14">
        <v>154</v>
      </c>
      <c r="Q158" s="12">
        <v>41793</v>
      </c>
      <c r="R158" s="15">
        <f t="shared" si="94"/>
        <v>2.3375000000000003E-2</v>
      </c>
      <c r="S158" s="4"/>
      <c r="T158" s="14">
        <v>154</v>
      </c>
      <c r="U158" s="12">
        <v>42158</v>
      </c>
      <c r="V158" s="15">
        <f t="shared" si="96"/>
        <v>2.3375000000000003E-2</v>
      </c>
      <c r="AA158" s="14">
        <v>154</v>
      </c>
      <c r="AB158" s="12">
        <v>41062</v>
      </c>
      <c r="AC158" s="15">
        <f t="shared" ref="AC158:AC175" si="97">AC$126+AC$4/AA$4/100</f>
        <v>3.3458333333333333E-2</v>
      </c>
      <c r="AI158" s="255">
        <v>154</v>
      </c>
      <c r="AJ158" s="253">
        <v>42158</v>
      </c>
      <c r="AK158" s="256">
        <f t="shared" si="85"/>
        <v>3.7083333333333336E-2</v>
      </c>
      <c r="AL158" s="253">
        <v>42524</v>
      </c>
      <c r="AM158" s="256">
        <f t="shared" si="82"/>
        <v>2.1250000000000002E-2</v>
      </c>
      <c r="AO158" s="253">
        <v>42158</v>
      </c>
      <c r="AP158" s="256">
        <f t="shared" si="83"/>
        <v>6.5833333333333327E-2</v>
      </c>
      <c r="AQ158" s="253">
        <v>42524</v>
      </c>
      <c r="AR158" s="256">
        <f t="shared" si="84"/>
        <v>1.9583333333333331E-2</v>
      </c>
    </row>
    <row r="159" spans="4:44" hidden="1" x14ac:dyDescent="0.2">
      <c r="D159" s="14">
        <v>155</v>
      </c>
      <c r="E159" s="12">
        <v>41429</v>
      </c>
      <c r="F159" s="15">
        <f t="shared" si="92"/>
        <v>3.1625000000000007E-2</v>
      </c>
      <c r="H159" s="14">
        <v>155</v>
      </c>
      <c r="I159" s="12">
        <v>41794</v>
      </c>
      <c r="J159" s="15">
        <f t="shared" si="93"/>
        <v>2.9791666666666664E-2</v>
      </c>
      <c r="K159" s="4"/>
      <c r="L159" s="14">
        <v>155</v>
      </c>
      <c r="M159" s="12">
        <v>42159</v>
      </c>
      <c r="N159" s="15">
        <f t="shared" si="95"/>
        <v>2.520833333333334E-2</v>
      </c>
      <c r="O159" s="141"/>
      <c r="P159" s="14">
        <v>155</v>
      </c>
      <c r="Q159" s="12">
        <v>41794</v>
      </c>
      <c r="R159" s="15">
        <f t="shared" si="94"/>
        <v>2.3375000000000003E-2</v>
      </c>
      <c r="S159" s="4"/>
      <c r="T159" s="14">
        <v>155</v>
      </c>
      <c r="U159" s="12">
        <v>42159</v>
      </c>
      <c r="V159" s="15">
        <f t="shared" si="96"/>
        <v>2.3375000000000003E-2</v>
      </c>
      <c r="AA159" s="14">
        <v>155</v>
      </c>
      <c r="AB159" s="12">
        <v>41063</v>
      </c>
      <c r="AC159" s="15">
        <f t="shared" si="97"/>
        <v>3.3458333333333333E-2</v>
      </c>
      <c r="AI159" s="255">
        <v>155</v>
      </c>
      <c r="AJ159" s="253">
        <v>42159</v>
      </c>
      <c r="AK159" s="256">
        <f t="shared" si="85"/>
        <v>3.7083333333333336E-2</v>
      </c>
      <c r="AL159" s="253">
        <v>42525</v>
      </c>
      <c r="AM159" s="256">
        <f t="shared" si="82"/>
        <v>2.1250000000000002E-2</v>
      </c>
      <c r="AO159" s="253">
        <v>42159</v>
      </c>
      <c r="AP159" s="256">
        <f t="shared" si="83"/>
        <v>6.5833333333333327E-2</v>
      </c>
      <c r="AQ159" s="253">
        <v>42525</v>
      </c>
      <c r="AR159" s="256">
        <f t="shared" si="84"/>
        <v>1.9583333333333331E-2</v>
      </c>
    </row>
    <row r="160" spans="4:44" hidden="1" x14ac:dyDescent="0.2">
      <c r="D160" s="14">
        <v>156</v>
      </c>
      <c r="E160" s="12">
        <v>41430</v>
      </c>
      <c r="F160" s="15">
        <f t="shared" si="92"/>
        <v>3.1625000000000007E-2</v>
      </c>
      <c r="H160" s="14">
        <v>156</v>
      </c>
      <c r="I160" s="12">
        <v>41795</v>
      </c>
      <c r="J160" s="15">
        <f t="shared" si="93"/>
        <v>2.9791666666666664E-2</v>
      </c>
      <c r="K160" s="4"/>
      <c r="L160" s="14">
        <v>156</v>
      </c>
      <c r="M160" s="12">
        <v>42160</v>
      </c>
      <c r="N160" s="15">
        <f t="shared" si="95"/>
        <v>2.520833333333334E-2</v>
      </c>
      <c r="O160" s="141"/>
      <c r="P160" s="14">
        <v>156</v>
      </c>
      <c r="Q160" s="12">
        <v>41795</v>
      </c>
      <c r="R160" s="15">
        <f t="shared" si="94"/>
        <v>2.3375000000000003E-2</v>
      </c>
      <c r="S160" s="4"/>
      <c r="T160" s="14">
        <v>156</v>
      </c>
      <c r="U160" s="12">
        <v>42160</v>
      </c>
      <c r="V160" s="15">
        <f t="shared" si="96"/>
        <v>2.3375000000000003E-2</v>
      </c>
      <c r="AA160" s="14">
        <v>156</v>
      </c>
      <c r="AB160" s="12">
        <v>41064</v>
      </c>
      <c r="AC160" s="15">
        <f t="shared" si="97"/>
        <v>3.3458333333333333E-2</v>
      </c>
      <c r="AI160" s="255">
        <v>156</v>
      </c>
      <c r="AJ160" s="253">
        <v>42160</v>
      </c>
      <c r="AK160" s="256">
        <f t="shared" si="85"/>
        <v>3.7083333333333336E-2</v>
      </c>
      <c r="AL160" s="253">
        <v>42526</v>
      </c>
      <c r="AM160" s="256">
        <f t="shared" si="82"/>
        <v>2.1250000000000002E-2</v>
      </c>
      <c r="AO160" s="253">
        <v>42160</v>
      </c>
      <c r="AP160" s="256">
        <f t="shared" si="83"/>
        <v>6.5833333333333327E-2</v>
      </c>
      <c r="AQ160" s="253">
        <v>42526</v>
      </c>
      <c r="AR160" s="256">
        <f t="shared" si="84"/>
        <v>1.9583333333333331E-2</v>
      </c>
    </row>
    <row r="161" spans="4:44" hidden="1" x14ac:dyDescent="0.2">
      <c r="D161" s="14">
        <v>157</v>
      </c>
      <c r="E161" s="12">
        <v>41431</v>
      </c>
      <c r="F161" s="15">
        <f t="shared" si="92"/>
        <v>3.1625000000000007E-2</v>
      </c>
      <c r="H161" s="14">
        <v>157</v>
      </c>
      <c r="I161" s="12">
        <v>41796</v>
      </c>
      <c r="J161" s="15">
        <f t="shared" si="93"/>
        <v>2.9791666666666664E-2</v>
      </c>
      <c r="K161" s="4"/>
      <c r="L161" s="14">
        <v>157</v>
      </c>
      <c r="M161" s="12">
        <v>42161</v>
      </c>
      <c r="N161" s="15">
        <f t="shared" si="95"/>
        <v>2.520833333333334E-2</v>
      </c>
      <c r="O161" s="141"/>
      <c r="P161" s="14">
        <v>157</v>
      </c>
      <c r="Q161" s="12">
        <v>41796</v>
      </c>
      <c r="R161" s="15">
        <f t="shared" si="94"/>
        <v>2.3375000000000003E-2</v>
      </c>
      <c r="S161" s="4"/>
      <c r="T161" s="14">
        <v>157</v>
      </c>
      <c r="U161" s="12">
        <v>42161</v>
      </c>
      <c r="V161" s="15">
        <f t="shared" si="96"/>
        <v>2.3375000000000003E-2</v>
      </c>
      <c r="AA161" s="14">
        <v>157</v>
      </c>
      <c r="AB161" s="12">
        <v>41065</v>
      </c>
      <c r="AC161" s="15">
        <f t="shared" si="97"/>
        <v>3.3458333333333333E-2</v>
      </c>
      <c r="AI161" s="255">
        <v>157</v>
      </c>
      <c r="AJ161" s="253">
        <v>42161</v>
      </c>
      <c r="AK161" s="259">
        <f>AK$160+AK$4/AI$4/100</f>
        <v>4.4500000000000005E-2</v>
      </c>
      <c r="AL161" s="253">
        <v>42527</v>
      </c>
      <c r="AM161" s="259">
        <f t="shared" ref="AM161:AM190" si="98">AM$160+AM$4/AI$4/100</f>
        <v>2.5500000000000002E-2</v>
      </c>
      <c r="AO161" s="253">
        <v>42161</v>
      </c>
      <c r="AP161" s="259">
        <f t="shared" ref="AP161:AP190" si="99">AP$160+AP$4/$AI$4/100</f>
        <v>7.8999999999999987E-2</v>
      </c>
      <c r="AQ161" s="253">
        <v>42527</v>
      </c>
      <c r="AR161" s="259">
        <f t="shared" ref="AR161:AR190" si="100">AR$160+AR$4/$AI$4/100</f>
        <v>2.3499999999999997E-2</v>
      </c>
    </row>
    <row r="162" spans="4:44" hidden="1" x14ac:dyDescent="0.2">
      <c r="D162" s="14">
        <v>158</v>
      </c>
      <c r="E162" s="12">
        <v>41432</v>
      </c>
      <c r="F162" s="15">
        <f t="shared" si="92"/>
        <v>3.1625000000000007E-2</v>
      </c>
      <c r="H162" s="14">
        <v>158</v>
      </c>
      <c r="I162" s="12">
        <v>41797</v>
      </c>
      <c r="J162" s="15">
        <f t="shared" si="93"/>
        <v>2.9791666666666664E-2</v>
      </c>
      <c r="K162" s="4"/>
      <c r="L162" s="14">
        <v>158</v>
      </c>
      <c r="M162" s="12">
        <v>42162</v>
      </c>
      <c r="N162" s="15">
        <f t="shared" si="95"/>
        <v>2.520833333333334E-2</v>
      </c>
      <c r="O162" s="141"/>
      <c r="P162" s="14">
        <v>158</v>
      </c>
      <c r="Q162" s="12">
        <v>41797</v>
      </c>
      <c r="R162" s="15">
        <f t="shared" si="94"/>
        <v>2.3375000000000003E-2</v>
      </c>
      <c r="S162" s="4"/>
      <c r="T162" s="14">
        <v>158</v>
      </c>
      <c r="U162" s="12">
        <v>42162</v>
      </c>
      <c r="V162" s="15">
        <f t="shared" si="96"/>
        <v>2.3375000000000003E-2</v>
      </c>
      <c r="AA162" s="14">
        <v>158</v>
      </c>
      <c r="AB162" s="12">
        <v>41066</v>
      </c>
      <c r="AC162" s="15">
        <f t="shared" si="97"/>
        <v>3.3458333333333333E-2</v>
      </c>
      <c r="AI162" s="255">
        <v>158</v>
      </c>
      <c r="AJ162" s="253">
        <v>42162</v>
      </c>
      <c r="AK162" s="256">
        <f t="shared" ref="AK162:AK190" si="101">AK$160+AK$4/AI$4/100</f>
        <v>4.4500000000000005E-2</v>
      </c>
      <c r="AL162" s="253">
        <v>42528</v>
      </c>
      <c r="AM162" s="256">
        <f t="shared" si="98"/>
        <v>2.5500000000000002E-2</v>
      </c>
      <c r="AO162" s="253">
        <v>42162</v>
      </c>
      <c r="AP162" s="256">
        <f t="shared" si="99"/>
        <v>7.8999999999999987E-2</v>
      </c>
      <c r="AQ162" s="253">
        <v>42528</v>
      </c>
      <c r="AR162" s="256">
        <f t="shared" si="100"/>
        <v>2.3499999999999997E-2</v>
      </c>
    </row>
    <row r="163" spans="4:44" hidden="1" x14ac:dyDescent="0.2">
      <c r="D163" s="14">
        <v>159</v>
      </c>
      <c r="E163" s="12">
        <v>41433</v>
      </c>
      <c r="F163" s="15">
        <f t="shared" si="92"/>
        <v>3.1625000000000007E-2</v>
      </c>
      <c r="H163" s="14">
        <v>159</v>
      </c>
      <c r="I163" s="12">
        <v>41798</v>
      </c>
      <c r="J163" s="15">
        <f t="shared" si="93"/>
        <v>2.9791666666666664E-2</v>
      </c>
      <c r="K163" s="4"/>
      <c r="L163" s="14">
        <v>159</v>
      </c>
      <c r="M163" s="12">
        <v>42163</v>
      </c>
      <c r="N163" s="15">
        <f t="shared" si="95"/>
        <v>2.520833333333334E-2</v>
      </c>
      <c r="O163" s="141"/>
      <c r="P163" s="14">
        <v>159</v>
      </c>
      <c r="Q163" s="12">
        <v>41798</v>
      </c>
      <c r="R163" s="15">
        <f t="shared" si="94"/>
        <v>2.3375000000000003E-2</v>
      </c>
      <c r="S163" s="4"/>
      <c r="T163" s="14">
        <v>159</v>
      </c>
      <c r="U163" s="12">
        <v>42163</v>
      </c>
      <c r="V163" s="15">
        <f t="shared" si="96"/>
        <v>2.3375000000000003E-2</v>
      </c>
      <c r="AA163" s="14">
        <v>159</v>
      </c>
      <c r="AB163" s="12">
        <v>41067</v>
      </c>
      <c r="AC163" s="15">
        <f t="shared" si="97"/>
        <v>3.3458333333333333E-2</v>
      </c>
      <c r="AI163" s="255">
        <v>159</v>
      </c>
      <c r="AJ163" s="253">
        <v>42163</v>
      </c>
      <c r="AK163" s="256">
        <f t="shared" si="101"/>
        <v>4.4500000000000005E-2</v>
      </c>
      <c r="AL163" s="253">
        <v>42529</v>
      </c>
      <c r="AM163" s="256">
        <f t="shared" si="98"/>
        <v>2.5500000000000002E-2</v>
      </c>
      <c r="AO163" s="253">
        <v>42163</v>
      </c>
      <c r="AP163" s="256">
        <f t="shared" si="99"/>
        <v>7.8999999999999987E-2</v>
      </c>
      <c r="AQ163" s="253">
        <v>42529</v>
      </c>
      <c r="AR163" s="256">
        <f t="shared" si="100"/>
        <v>2.3499999999999997E-2</v>
      </c>
    </row>
    <row r="164" spans="4:44" hidden="1" x14ac:dyDescent="0.2">
      <c r="D164" s="14">
        <v>160</v>
      </c>
      <c r="E164" s="12">
        <v>41434</v>
      </c>
      <c r="F164" s="15">
        <f t="shared" si="92"/>
        <v>3.1625000000000007E-2</v>
      </c>
      <c r="H164" s="14">
        <v>160</v>
      </c>
      <c r="I164" s="12">
        <v>41799</v>
      </c>
      <c r="J164" s="15">
        <f t="shared" si="93"/>
        <v>2.9791666666666664E-2</v>
      </c>
      <c r="K164" s="4"/>
      <c r="L164" s="14">
        <v>160</v>
      </c>
      <c r="M164" s="12">
        <v>42164</v>
      </c>
      <c r="N164" s="15">
        <f t="shared" si="95"/>
        <v>2.520833333333334E-2</v>
      </c>
      <c r="O164" s="141"/>
      <c r="P164" s="14">
        <v>160</v>
      </c>
      <c r="Q164" s="12">
        <v>41799</v>
      </c>
      <c r="R164" s="15">
        <f t="shared" si="94"/>
        <v>2.3375000000000003E-2</v>
      </c>
      <c r="S164" s="4"/>
      <c r="T164" s="14">
        <v>160</v>
      </c>
      <c r="U164" s="12">
        <v>42164</v>
      </c>
      <c r="V164" s="15">
        <f t="shared" si="96"/>
        <v>2.3375000000000003E-2</v>
      </c>
      <c r="AA164" s="14">
        <v>160</v>
      </c>
      <c r="AB164" s="12">
        <v>41068</v>
      </c>
      <c r="AC164" s="15">
        <f t="shared" si="97"/>
        <v>3.3458333333333333E-2</v>
      </c>
      <c r="AI164" s="255">
        <v>160</v>
      </c>
      <c r="AJ164" s="253">
        <v>42164</v>
      </c>
      <c r="AK164" s="256">
        <f t="shared" si="101"/>
        <v>4.4500000000000005E-2</v>
      </c>
      <c r="AL164" s="253">
        <v>42530</v>
      </c>
      <c r="AM164" s="256">
        <f t="shared" si="98"/>
        <v>2.5500000000000002E-2</v>
      </c>
      <c r="AO164" s="253">
        <v>42164</v>
      </c>
      <c r="AP164" s="256">
        <f t="shared" si="99"/>
        <v>7.8999999999999987E-2</v>
      </c>
      <c r="AQ164" s="253">
        <v>42530</v>
      </c>
      <c r="AR164" s="256">
        <f t="shared" si="100"/>
        <v>2.3499999999999997E-2</v>
      </c>
    </row>
    <row r="165" spans="4:44" hidden="1" x14ac:dyDescent="0.2">
      <c r="D165" s="14">
        <v>161</v>
      </c>
      <c r="E165" s="12">
        <v>41435</v>
      </c>
      <c r="F165" s="15">
        <f t="shared" si="92"/>
        <v>3.1625000000000007E-2</v>
      </c>
      <c r="H165" s="14">
        <v>161</v>
      </c>
      <c r="I165" s="12">
        <v>41800</v>
      </c>
      <c r="J165" s="15">
        <f t="shared" si="93"/>
        <v>2.9791666666666664E-2</v>
      </c>
      <c r="K165" s="4"/>
      <c r="L165" s="14">
        <v>161</v>
      </c>
      <c r="M165" s="12">
        <v>42165</v>
      </c>
      <c r="N165" s="15">
        <f t="shared" si="95"/>
        <v>2.520833333333334E-2</v>
      </c>
      <c r="O165" s="141"/>
      <c r="P165" s="14">
        <v>161</v>
      </c>
      <c r="Q165" s="12">
        <v>41800</v>
      </c>
      <c r="R165" s="15">
        <f t="shared" si="94"/>
        <v>2.3375000000000003E-2</v>
      </c>
      <c r="S165" s="4"/>
      <c r="T165" s="14">
        <v>161</v>
      </c>
      <c r="U165" s="12">
        <v>42165</v>
      </c>
      <c r="V165" s="15">
        <f t="shared" si="96"/>
        <v>2.3375000000000003E-2</v>
      </c>
      <c r="AA165" s="14">
        <v>161</v>
      </c>
      <c r="AB165" s="12">
        <v>41069</v>
      </c>
      <c r="AC165" s="15">
        <f t="shared" si="97"/>
        <v>3.3458333333333333E-2</v>
      </c>
      <c r="AI165" s="255">
        <v>161</v>
      </c>
      <c r="AJ165" s="253">
        <v>42165</v>
      </c>
      <c r="AK165" s="256">
        <f t="shared" si="101"/>
        <v>4.4500000000000005E-2</v>
      </c>
      <c r="AL165" s="253">
        <v>42531</v>
      </c>
      <c r="AM165" s="256">
        <f t="shared" si="98"/>
        <v>2.5500000000000002E-2</v>
      </c>
      <c r="AO165" s="253">
        <v>42165</v>
      </c>
      <c r="AP165" s="256">
        <f t="shared" si="99"/>
        <v>7.8999999999999987E-2</v>
      </c>
      <c r="AQ165" s="253">
        <v>42531</v>
      </c>
      <c r="AR165" s="256">
        <f t="shared" si="100"/>
        <v>2.3499999999999997E-2</v>
      </c>
    </row>
    <row r="166" spans="4:44" hidden="1" x14ac:dyDescent="0.2">
      <c r="D166" s="14">
        <v>162</v>
      </c>
      <c r="E166" s="12">
        <v>41436</v>
      </c>
      <c r="F166" s="15">
        <f t="shared" si="92"/>
        <v>3.1625000000000007E-2</v>
      </c>
      <c r="H166" s="14">
        <v>162</v>
      </c>
      <c r="I166" s="12">
        <v>41801</v>
      </c>
      <c r="J166" s="15">
        <f t="shared" si="93"/>
        <v>2.9791666666666664E-2</v>
      </c>
      <c r="K166" s="4"/>
      <c r="L166" s="14">
        <v>162</v>
      </c>
      <c r="M166" s="12">
        <v>42166</v>
      </c>
      <c r="N166" s="15">
        <f t="shared" si="95"/>
        <v>2.520833333333334E-2</v>
      </c>
      <c r="O166" s="141"/>
      <c r="P166" s="14">
        <v>162</v>
      </c>
      <c r="Q166" s="12">
        <v>41801</v>
      </c>
      <c r="R166" s="15">
        <f t="shared" si="94"/>
        <v>2.3375000000000003E-2</v>
      </c>
      <c r="S166" s="4"/>
      <c r="T166" s="14">
        <v>162</v>
      </c>
      <c r="U166" s="12">
        <v>42166</v>
      </c>
      <c r="V166" s="15">
        <f t="shared" si="96"/>
        <v>2.3375000000000003E-2</v>
      </c>
      <c r="AA166" s="14">
        <v>162</v>
      </c>
      <c r="AB166" s="12">
        <v>41070</v>
      </c>
      <c r="AC166" s="15">
        <f t="shared" si="97"/>
        <v>3.3458333333333333E-2</v>
      </c>
      <c r="AI166" s="255">
        <v>162</v>
      </c>
      <c r="AJ166" s="253">
        <v>42166</v>
      </c>
      <c r="AK166" s="256">
        <f t="shared" si="101"/>
        <v>4.4500000000000005E-2</v>
      </c>
      <c r="AL166" s="253">
        <v>42532</v>
      </c>
      <c r="AM166" s="256">
        <f t="shared" si="98"/>
        <v>2.5500000000000002E-2</v>
      </c>
      <c r="AO166" s="253">
        <v>42166</v>
      </c>
      <c r="AP166" s="256">
        <f t="shared" si="99"/>
        <v>7.8999999999999987E-2</v>
      </c>
      <c r="AQ166" s="253">
        <v>42532</v>
      </c>
      <c r="AR166" s="256">
        <f t="shared" si="100"/>
        <v>2.3499999999999997E-2</v>
      </c>
    </row>
    <row r="167" spans="4:44" hidden="1" x14ac:dyDescent="0.2">
      <c r="D167" s="14">
        <v>163</v>
      </c>
      <c r="E167" s="12">
        <v>41437</v>
      </c>
      <c r="F167" s="15">
        <f t="shared" si="92"/>
        <v>3.1625000000000007E-2</v>
      </c>
      <c r="H167" s="14">
        <v>163</v>
      </c>
      <c r="I167" s="12">
        <v>41802</v>
      </c>
      <c r="J167" s="15">
        <f t="shared" si="93"/>
        <v>2.9791666666666664E-2</v>
      </c>
      <c r="K167" s="4"/>
      <c r="L167" s="14">
        <v>163</v>
      </c>
      <c r="M167" s="12">
        <v>42167</v>
      </c>
      <c r="N167" s="15">
        <f t="shared" si="95"/>
        <v>2.520833333333334E-2</v>
      </c>
      <c r="O167" s="141"/>
      <c r="P167" s="14">
        <v>163</v>
      </c>
      <c r="Q167" s="12">
        <v>41802</v>
      </c>
      <c r="R167" s="15">
        <f t="shared" si="94"/>
        <v>2.3375000000000003E-2</v>
      </c>
      <c r="S167" s="4"/>
      <c r="T167" s="14">
        <v>163</v>
      </c>
      <c r="U167" s="12">
        <v>42167</v>
      </c>
      <c r="V167" s="15">
        <f t="shared" si="96"/>
        <v>2.3375000000000003E-2</v>
      </c>
      <c r="AA167" s="14">
        <v>163</v>
      </c>
      <c r="AB167" s="12">
        <v>41071</v>
      </c>
      <c r="AC167" s="15">
        <f t="shared" si="97"/>
        <v>3.3458333333333333E-2</v>
      </c>
      <c r="AI167" s="255">
        <v>163</v>
      </c>
      <c r="AJ167" s="253">
        <v>42167</v>
      </c>
      <c r="AK167" s="256">
        <f t="shared" si="101"/>
        <v>4.4500000000000005E-2</v>
      </c>
      <c r="AL167" s="253">
        <v>42533</v>
      </c>
      <c r="AM167" s="256">
        <f t="shared" si="98"/>
        <v>2.5500000000000002E-2</v>
      </c>
      <c r="AO167" s="253">
        <v>42167</v>
      </c>
      <c r="AP167" s="256">
        <f t="shared" si="99"/>
        <v>7.8999999999999987E-2</v>
      </c>
      <c r="AQ167" s="253">
        <v>42533</v>
      </c>
      <c r="AR167" s="256">
        <f t="shared" si="100"/>
        <v>2.3499999999999997E-2</v>
      </c>
    </row>
    <row r="168" spans="4:44" hidden="1" x14ac:dyDescent="0.2">
      <c r="D168" s="14">
        <v>164</v>
      </c>
      <c r="E168" s="12">
        <v>41438</v>
      </c>
      <c r="F168" s="15">
        <f t="shared" si="92"/>
        <v>3.1625000000000007E-2</v>
      </c>
      <c r="H168" s="14">
        <v>164</v>
      </c>
      <c r="I168" s="12">
        <v>41803</v>
      </c>
      <c r="J168" s="15">
        <f t="shared" si="93"/>
        <v>2.9791666666666664E-2</v>
      </c>
      <c r="K168" s="4"/>
      <c r="L168" s="14">
        <v>164</v>
      </c>
      <c r="M168" s="12">
        <v>42168</v>
      </c>
      <c r="N168" s="15">
        <f t="shared" si="95"/>
        <v>2.520833333333334E-2</v>
      </c>
      <c r="O168" s="141"/>
      <c r="P168" s="14">
        <v>164</v>
      </c>
      <c r="Q168" s="12">
        <v>41803</v>
      </c>
      <c r="R168" s="15">
        <f t="shared" si="94"/>
        <v>2.3375000000000003E-2</v>
      </c>
      <c r="S168" s="4"/>
      <c r="T168" s="14">
        <v>164</v>
      </c>
      <c r="U168" s="12">
        <v>42168</v>
      </c>
      <c r="V168" s="15">
        <f t="shared" si="96"/>
        <v>2.3375000000000003E-2</v>
      </c>
      <c r="AA168" s="14">
        <v>164</v>
      </c>
      <c r="AB168" s="12">
        <v>41072</v>
      </c>
      <c r="AC168" s="15">
        <f t="shared" si="97"/>
        <v>3.3458333333333333E-2</v>
      </c>
      <c r="AI168" s="255">
        <v>164</v>
      </c>
      <c r="AJ168" s="253">
        <v>42168</v>
      </c>
      <c r="AK168" s="256">
        <f t="shared" si="101"/>
        <v>4.4500000000000005E-2</v>
      </c>
      <c r="AL168" s="253">
        <v>42534</v>
      </c>
      <c r="AM168" s="256">
        <f t="shared" si="98"/>
        <v>2.5500000000000002E-2</v>
      </c>
      <c r="AO168" s="253">
        <v>42168</v>
      </c>
      <c r="AP168" s="256">
        <f t="shared" si="99"/>
        <v>7.8999999999999987E-2</v>
      </c>
      <c r="AQ168" s="253">
        <v>42534</v>
      </c>
      <c r="AR168" s="256">
        <f t="shared" si="100"/>
        <v>2.3499999999999997E-2</v>
      </c>
    </row>
    <row r="169" spans="4:44" hidden="1" x14ac:dyDescent="0.2">
      <c r="D169" s="14">
        <v>165</v>
      </c>
      <c r="E169" s="12">
        <v>41439</v>
      </c>
      <c r="F169" s="15">
        <f t="shared" si="92"/>
        <v>3.1625000000000007E-2</v>
      </c>
      <c r="H169" s="14">
        <v>165</v>
      </c>
      <c r="I169" s="12">
        <v>41804</v>
      </c>
      <c r="J169" s="15">
        <f t="shared" si="93"/>
        <v>2.9791666666666664E-2</v>
      </c>
      <c r="K169" s="4"/>
      <c r="L169" s="14">
        <v>165</v>
      </c>
      <c r="M169" s="12">
        <v>42169</v>
      </c>
      <c r="N169" s="15">
        <f t="shared" si="95"/>
        <v>2.520833333333334E-2</v>
      </c>
      <c r="O169" s="141"/>
      <c r="P169" s="14">
        <v>165</v>
      </c>
      <c r="Q169" s="12">
        <v>41804</v>
      </c>
      <c r="R169" s="15">
        <f t="shared" si="94"/>
        <v>2.3375000000000003E-2</v>
      </c>
      <c r="S169" s="4"/>
      <c r="T169" s="14">
        <v>165</v>
      </c>
      <c r="U169" s="12">
        <v>42169</v>
      </c>
      <c r="V169" s="15">
        <f t="shared" si="96"/>
        <v>2.3375000000000003E-2</v>
      </c>
      <c r="AA169" s="14">
        <v>165</v>
      </c>
      <c r="AB169" s="12">
        <v>41073</v>
      </c>
      <c r="AC169" s="15">
        <f t="shared" si="97"/>
        <v>3.3458333333333333E-2</v>
      </c>
      <c r="AI169" s="255">
        <v>165</v>
      </c>
      <c r="AJ169" s="253">
        <v>42169</v>
      </c>
      <c r="AK169" s="256">
        <f t="shared" si="101"/>
        <v>4.4500000000000005E-2</v>
      </c>
      <c r="AL169" s="253">
        <v>42535</v>
      </c>
      <c r="AM169" s="256">
        <f t="shared" si="98"/>
        <v>2.5500000000000002E-2</v>
      </c>
      <c r="AO169" s="253">
        <v>42169</v>
      </c>
      <c r="AP169" s="256">
        <f t="shared" si="99"/>
        <v>7.8999999999999987E-2</v>
      </c>
      <c r="AQ169" s="253">
        <v>42535</v>
      </c>
      <c r="AR169" s="256">
        <f t="shared" si="100"/>
        <v>2.3499999999999997E-2</v>
      </c>
    </row>
    <row r="170" spans="4:44" hidden="1" x14ac:dyDescent="0.2">
      <c r="D170" s="14">
        <v>166</v>
      </c>
      <c r="E170" s="12">
        <v>41440</v>
      </c>
      <c r="F170" s="15">
        <f t="shared" si="92"/>
        <v>3.1625000000000007E-2</v>
      </c>
      <c r="H170" s="14">
        <v>166</v>
      </c>
      <c r="I170" s="12">
        <v>41805</v>
      </c>
      <c r="J170" s="15">
        <f t="shared" si="93"/>
        <v>2.9791666666666664E-2</v>
      </c>
      <c r="K170" s="4"/>
      <c r="L170" s="14">
        <v>166</v>
      </c>
      <c r="M170" s="12">
        <v>42170</v>
      </c>
      <c r="N170" s="15">
        <f t="shared" si="95"/>
        <v>2.520833333333334E-2</v>
      </c>
      <c r="O170" s="141"/>
      <c r="P170" s="14">
        <v>166</v>
      </c>
      <c r="Q170" s="12">
        <v>41805</v>
      </c>
      <c r="R170" s="15">
        <f t="shared" si="94"/>
        <v>2.3375000000000003E-2</v>
      </c>
      <c r="S170" s="4"/>
      <c r="T170" s="14">
        <v>166</v>
      </c>
      <c r="U170" s="12">
        <v>42170</v>
      </c>
      <c r="V170" s="15">
        <f t="shared" si="96"/>
        <v>2.3375000000000003E-2</v>
      </c>
      <c r="AA170" s="14">
        <v>166</v>
      </c>
      <c r="AB170" s="12">
        <v>41074</v>
      </c>
      <c r="AC170" s="15">
        <f t="shared" si="97"/>
        <v>3.3458333333333333E-2</v>
      </c>
      <c r="AI170" s="255">
        <v>166</v>
      </c>
      <c r="AJ170" s="253">
        <v>42170</v>
      </c>
      <c r="AK170" s="256">
        <f t="shared" si="101"/>
        <v>4.4500000000000005E-2</v>
      </c>
      <c r="AL170" s="253">
        <v>42536</v>
      </c>
      <c r="AM170" s="256">
        <f t="shared" si="98"/>
        <v>2.5500000000000002E-2</v>
      </c>
      <c r="AO170" s="253">
        <v>42170</v>
      </c>
      <c r="AP170" s="256">
        <f t="shared" si="99"/>
        <v>7.8999999999999987E-2</v>
      </c>
      <c r="AQ170" s="253">
        <v>42536</v>
      </c>
      <c r="AR170" s="256">
        <f t="shared" si="100"/>
        <v>2.3499999999999997E-2</v>
      </c>
    </row>
    <row r="171" spans="4:44" hidden="1" x14ac:dyDescent="0.2">
      <c r="D171" s="14">
        <v>167</v>
      </c>
      <c r="E171" s="12">
        <v>41441</v>
      </c>
      <c r="F171" s="15">
        <f t="shared" si="92"/>
        <v>3.1625000000000007E-2</v>
      </c>
      <c r="H171" s="14">
        <v>167</v>
      </c>
      <c r="I171" s="12">
        <v>41806</v>
      </c>
      <c r="J171" s="15">
        <f t="shared" si="93"/>
        <v>2.9791666666666664E-2</v>
      </c>
      <c r="K171" s="4"/>
      <c r="L171" s="14">
        <v>167</v>
      </c>
      <c r="M171" s="12">
        <v>42171</v>
      </c>
      <c r="N171" s="15">
        <f t="shared" si="95"/>
        <v>2.520833333333334E-2</v>
      </c>
      <c r="O171" s="141"/>
      <c r="P171" s="14">
        <v>167</v>
      </c>
      <c r="Q171" s="12">
        <v>41806</v>
      </c>
      <c r="R171" s="15">
        <f t="shared" si="94"/>
        <v>2.3375000000000003E-2</v>
      </c>
      <c r="S171" s="4"/>
      <c r="T171" s="14">
        <v>167</v>
      </c>
      <c r="U171" s="12">
        <v>42171</v>
      </c>
      <c r="V171" s="15">
        <f t="shared" si="96"/>
        <v>2.3375000000000003E-2</v>
      </c>
      <c r="AA171" s="14">
        <v>167</v>
      </c>
      <c r="AB171" s="12">
        <v>41075</v>
      </c>
      <c r="AC171" s="15">
        <f t="shared" si="97"/>
        <v>3.3458333333333333E-2</v>
      </c>
      <c r="AI171" s="255">
        <v>167</v>
      </c>
      <c r="AJ171" s="253">
        <v>42171</v>
      </c>
      <c r="AK171" s="256">
        <f t="shared" si="101"/>
        <v>4.4500000000000005E-2</v>
      </c>
      <c r="AL171" s="253">
        <v>42537</v>
      </c>
      <c r="AM171" s="256">
        <f t="shared" si="98"/>
        <v>2.5500000000000002E-2</v>
      </c>
      <c r="AO171" s="253">
        <v>42171</v>
      </c>
      <c r="AP171" s="256">
        <f t="shared" si="99"/>
        <v>7.8999999999999987E-2</v>
      </c>
      <c r="AQ171" s="253">
        <v>42537</v>
      </c>
      <c r="AR171" s="256">
        <f t="shared" si="100"/>
        <v>2.3499999999999997E-2</v>
      </c>
    </row>
    <row r="172" spans="4:44" hidden="1" x14ac:dyDescent="0.2">
      <c r="D172" s="14">
        <v>168</v>
      </c>
      <c r="E172" s="12">
        <v>41442</v>
      </c>
      <c r="F172" s="15">
        <f t="shared" si="92"/>
        <v>3.1625000000000007E-2</v>
      </c>
      <c r="H172" s="14">
        <v>168</v>
      </c>
      <c r="I172" s="12">
        <v>41807</v>
      </c>
      <c r="J172" s="15">
        <f t="shared" si="93"/>
        <v>2.9791666666666664E-2</v>
      </c>
      <c r="K172" s="4"/>
      <c r="L172" s="14">
        <v>168</v>
      </c>
      <c r="M172" s="12">
        <v>42172</v>
      </c>
      <c r="N172" s="15">
        <f t="shared" si="95"/>
        <v>2.520833333333334E-2</v>
      </c>
      <c r="O172" s="141"/>
      <c r="P172" s="14">
        <v>168</v>
      </c>
      <c r="Q172" s="12">
        <v>41807</v>
      </c>
      <c r="R172" s="15">
        <f t="shared" si="94"/>
        <v>2.3375000000000003E-2</v>
      </c>
      <c r="S172" s="4"/>
      <c r="T172" s="14">
        <v>168</v>
      </c>
      <c r="U172" s="12">
        <v>42172</v>
      </c>
      <c r="V172" s="15">
        <f t="shared" si="96"/>
        <v>2.3375000000000003E-2</v>
      </c>
      <c r="AA172" s="14">
        <v>168</v>
      </c>
      <c r="AB172" s="12">
        <v>41076</v>
      </c>
      <c r="AC172" s="15">
        <f t="shared" si="97"/>
        <v>3.3458333333333333E-2</v>
      </c>
      <c r="AI172" s="255">
        <v>168</v>
      </c>
      <c r="AJ172" s="253">
        <v>42172</v>
      </c>
      <c r="AK172" s="256">
        <f t="shared" si="101"/>
        <v>4.4500000000000005E-2</v>
      </c>
      <c r="AL172" s="253">
        <v>42538</v>
      </c>
      <c r="AM172" s="256">
        <f t="shared" si="98"/>
        <v>2.5500000000000002E-2</v>
      </c>
      <c r="AO172" s="253">
        <v>42172</v>
      </c>
      <c r="AP172" s="256">
        <f t="shared" si="99"/>
        <v>7.8999999999999987E-2</v>
      </c>
      <c r="AQ172" s="253">
        <v>42538</v>
      </c>
      <c r="AR172" s="256">
        <f t="shared" si="100"/>
        <v>2.3499999999999997E-2</v>
      </c>
    </row>
    <row r="173" spans="4:44" hidden="1" x14ac:dyDescent="0.2">
      <c r="D173" s="14">
        <v>169</v>
      </c>
      <c r="E173" s="12">
        <v>41443</v>
      </c>
      <c r="F173" s="15">
        <f t="shared" si="92"/>
        <v>3.1625000000000007E-2</v>
      </c>
      <c r="H173" s="14">
        <v>169</v>
      </c>
      <c r="I173" s="12">
        <v>41808</v>
      </c>
      <c r="J173" s="15">
        <f t="shared" si="93"/>
        <v>2.9791666666666664E-2</v>
      </c>
      <c r="K173" s="4"/>
      <c r="L173" s="14">
        <v>169</v>
      </c>
      <c r="M173" s="12">
        <v>42173</v>
      </c>
      <c r="N173" s="15">
        <f t="shared" si="95"/>
        <v>2.520833333333334E-2</v>
      </c>
      <c r="O173" s="141"/>
      <c r="P173" s="14">
        <v>169</v>
      </c>
      <c r="Q173" s="12">
        <v>41808</v>
      </c>
      <c r="R173" s="15">
        <f t="shared" si="94"/>
        <v>2.3375000000000003E-2</v>
      </c>
      <c r="S173" s="4"/>
      <c r="T173" s="14">
        <v>169</v>
      </c>
      <c r="U173" s="12">
        <v>42173</v>
      </c>
      <c r="V173" s="15">
        <f t="shared" si="96"/>
        <v>2.3375000000000003E-2</v>
      </c>
      <c r="AA173" s="14">
        <v>169</v>
      </c>
      <c r="AB173" s="12">
        <v>41077</v>
      </c>
      <c r="AC173" s="15">
        <f t="shared" si="97"/>
        <v>3.3458333333333333E-2</v>
      </c>
      <c r="AI173" s="255">
        <v>169</v>
      </c>
      <c r="AJ173" s="253">
        <v>42173</v>
      </c>
      <c r="AK173" s="256">
        <f t="shared" si="101"/>
        <v>4.4500000000000005E-2</v>
      </c>
      <c r="AL173" s="253">
        <v>42539</v>
      </c>
      <c r="AM173" s="256">
        <f t="shared" si="98"/>
        <v>2.5500000000000002E-2</v>
      </c>
      <c r="AO173" s="253">
        <v>42173</v>
      </c>
      <c r="AP173" s="256">
        <f t="shared" si="99"/>
        <v>7.8999999999999987E-2</v>
      </c>
      <c r="AQ173" s="253">
        <v>42539</v>
      </c>
      <c r="AR173" s="256">
        <f t="shared" si="100"/>
        <v>2.3499999999999997E-2</v>
      </c>
    </row>
    <row r="174" spans="4:44" hidden="1" x14ac:dyDescent="0.2">
      <c r="D174" s="14">
        <v>170</v>
      </c>
      <c r="E174" s="12">
        <v>41444</v>
      </c>
      <c r="F174" s="15">
        <f t="shared" si="92"/>
        <v>3.1625000000000007E-2</v>
      </c>
      <c r="H174" s="14">
        <v>170</v>
      </c>
      <c r="I174" s="12">
        <v>41809</v>
      </c>
      <c r="J174" s="15">
        <f t="shared" si="93"/>
        <v>2.9791666666666664E-2</v>
      </c>
      <c r="K174" s="4"/>
      <c r="L174" s="14">
        <v>170</v>
      </c>
      <c r="M174" s="12">
        <v>42174</v>
      </c>
      <c r="N174" s="15">
        <f t="shared" si="95"/>
        <v>2.520833333333334E-2</v>
      </c>
      <c r="O174" s="141"/>
      <c r="P174" s="14">
        <v>170</v>
      </c>
      <c r="Q174" s="12">
        <v>41809</v>
      </c>
      <c r="R174" s="15">
        <f t="shared" si="94"/>
        <v>2.3375000000000003E-2</v>
      </c>
      <c r="S174" s="4"/>
      <c r="T174" s="14">
        <v>170</v>
      </c>
      <c r="U174" s="12">
        <v>42174</v>
      </c>
      <c r="V174" s="15">
        <f t="shared" si="96"/>
        <v>2.3375000000000003E-2</v>
      </c>
      <c r="AA174" s="14">
        <v>170</v>
      </c>
      <c r="AB174" s="12">
        <v>41078</v>
      </c>
      <c r="AC174" s="15">
        <f t="shared" si="97"/>
        <v>3.3458333333333333E-2</v>
      </c>
      <c r="AI174" s="255">
        <v>170</v>
      </c>
      <c r="AJ174" s="253">
        <v>42174</v>
      </c>
      <c r="AK174" s="256">
        <f t="shared" si="101"/>
        <v>4.4500000000000005E-2</v>
      </c>
      <c r="AL174" s="253">
        <v>42540</v>
      </c>
      <c r="AM174" s="256">
        <f t="shared" si="98"/>
        <v>2.5500000000000002E-2</v>
      </c>
      <c r="AO174" s="253">
        <v>42174</v>
      </c>
      <c r="AP174" s="256">
        <f t="shared" si="99"/>
        <v>7.8999999999999987E-2</v>
      </c>
      <c r="AQ174" s="253">
        <v>42540</v>
      </c>
      <c r="AR174" s="256">
        <f t="shared" si="100"/>
        <v>2.3499999999999997E-2</v>
      </c>
    </row>
    <row r="175" spans="4:44" hidden="1" x14ac:dyDescent="0.2">
      <c r="D175" s="14">
        <v>171</v>
      </c>
      <c r="E175" s="12">
        <v>41445</v>
      </c>
      <c r="F175" s="15">
        <f t="shared" si="92"/>
        <v>3.1625000000000007E-2</v>
      </c>
      <c r="H175" s="14">
        <v>171</v>
      </c>
      <c r="I175" s="12">
        <v>41810</v>
      </c>
      <c r="J175" s="15">
        <f t="shared" si="93"/>
        <v>2.9791666666666664E-2</v>
      </c>
      <c r="K175" s="4"/>
      <c r="L175" s="14">
        <v>171</v>
      </c>
      <c r="M175" s="12">
        <v>42175</v>
      </c>
      <c r="N175" s="15">
        <f t="shared" si="95"/>
        <v>2.520833333333334E-2</v>
      </c>
      <c r="O175" s="141"/>
      <c r="P175" s="14">
        <v>171</v>
      </c>
      <c r="Q175" s="12">
        <v>41810</v>
      </c>
      <c r="R175" s="15">
        <f t="shared" si="94"/>
        <v>2.3375000000000003E-2</v>
      </c>
      <c r="S175" s="4"/>
      <c r="T175" s="14">
        <v>171</v>
      </c>
      <c r="U175" s="12">
        <v>42175</v>
      </c>
      <c r="V175" s="15">
        <f t="shared" si="96"/>
        <v>2.3375000000000003E-2</v>
      </c>
      <c r="AA175" s="14">
        <v>171</v>
      </c>
      <c r="AB175" s="12">
        <v>41079</v>
      </c>
      <c r="AC175" s="15">
        <f t="shared" si="97"/>
        <v>3.3458333333333333E-2</v>
      </c>
      <c r="AI175" s="255">
        <v>171</v>
      </c>
      <c r="AJ175" s="253">
        <v>42175</v>
      </c>
      <c r="AK175" s="256">
        <f t="shared" si="101"/>
        <v>4.4500000000000005E-2</v>
      </c>
      <c r="AL175" s="253">
        <v>42541</v>
      </c>
      <c r="AM175" s="256">
        <f t="shared" si="98"/>
        <v>2.5500000000000002E-2</v>
      </c>
      <c r="AO175" s="253">
        <v>42175</v>
      </c>
      <c r="AP175" s="256">
        <f t="shared" si="99"/>
        <v>7.8999999999999987E-2</v>
      </c>
      <c r="AQ175" s="253">
        <v>42541</v>
      </c>
      <c r="AR175" s="256">
        <f t="shared" si="100"/>
        <v>2.3499999999999997E-2</v>
      </c>
    </row>
    <row r="176" spans="4:44" hidden="1" x14ac:dyDescent="0.2">
      <c r="D176" s="14">
        <v>172</v>
      </c>
      <c r="E176" s="12">
        <v>41446</v>
      </c>
      <c r="F176" s="50">
        <f t="shared" ref="F176:F185" si="102">F$145+F$4/D$4/100</f>
        <v>3.4500000000000003E-2</v>
      </c>
      <c r="H176" s="14">
        <v>172</v>
      </c>
      <c r="I176" s="12">
        <v>41811</v>
      </c>
      <c r="J176" s="50">
        <f t="shared" ref="J176:J185" si="103">J$145+J$4/H$4/100</f>
        <v>3.2499999999999994E-2</v>
      </c>
      <c r="K176" s="4"/>
      <c r="L176" s="14">
        <v>172</v>
      </c>
      <c r="M176" s="12">
        <v>42176</v>
      </c>
      <c r="N176" s="50">
        <f>N$145+N$4/L$4/100</f>
        <v>2.7500000000000004E-2</v>
      </c>
      <c r="O176" s="141"/>
      <c r="P176" s="14">
        <v>172</v>
      </c>
      <c r="Q176" s="12">
        <v>41811</v>
      </c>
      <c r="R176" s="50">
        <f t="shared" ref="R176:R185" si="104">R$145+R$4/P$4/100</f>
        <v>2.5500000000000002E-2</v>
      </c>
      <c r="S176" s="4"/>
      <c r="T176" s="14">
        <v>172</v>
      </c>
      <c r="U176" s="12">
        <v>42176</v>
      </c>
      <c r="V176" s="50">
        <f>V$145+V$4/T$4/100</f>
        <v>2.5500000000000002E-2</v>
      </c>
      <c r="AA176" s="51">
        <v>172</v>
      </c>
      <c r="AB176" s="12">
        <v>41080</v>
      </c>
      <c r="AC176" s="15">
        <f>AC$126+AC$4/AA$4/100</f>
        <v>3.3458333333333333E-2</v>
      </c>
      <c r="AI176" s="255">
        <v>172</v>
      </c>
      <c r="AJ176" s="253">
        <v>42176</v>
      </c>
      <c r="AK176" s="256">
        <f t="shared" si="101"/>
        <v>4.4500000000000005E-2</v>
      </c>
      <c r="AL176" s="253">
        <v>42542</v>
      </c>
      <c r="AM176" s="256">
        <f t="shared" si="98"/>
        <v>2.5500000000000002E-2</v>
      </c>
      <c r="AO176" s="253">
        <v>42176</v>
      </c>
      <c r="AP176" s="256">
        <f t="shared" si="99"/>
        <v>7.8999999999999987E-2</v>
      </c>
      <c r="AQ176" s="253">
        <v>42542</v>
      </c>
      <c r="AR176" s="256">
        <f t="shared" si="100"/>
        <v>2.3499999999999997E-2</v>
      </c>
    </row>
    <row r="177" spans="4:44" hidden="1" x14ac:dyDescent="0.2">
      <c r="D177" s="14">
        <v>173</v>
      </c>
      <c r="E177" s="12">
        <v>41447</v>
      </c>
      <c r="F177" s="15">
        <f t="shared" si="102"/>
        <v>3.4500000000000003E-2</v>
      </c>
      <c r="H177" s="14">
        <v>173</v>
      </c>
      <c r="I177" s="12">
        <v>41812</v>
      </c>
      <c r="J177" s="15">
        <f t="shared" si="103"/>
        <v>3.2499999999999994E-2</v>
      </c>
      <c r="K177" s="4"/>
      <c r="L177" s="14">
        <v>173</v>
      </c>
      <c r="M177" s="12">
        <v>42177</v>
      </c>
      <c r="N177" s="15">
        <f t="shared" ref="N177:N185" si="105">N$145+N$4/L$4/100</f>
        <v>2.7500000000000004E-2</v>
      </c>
      <c r="O177" s="141"/>
      <c r="P177" s="14">
        <v>173</v>
      </c>
      <c r="Q177" s="12">
        <v>41812</v>
      </c>
      <c r="R177" s="15">
        <f t="shared" si="104"/>
        <v>2.5500000000000002E-2</v>
      </c>
      <c r="S177" s="4"/>
      <c r="T177" s="14">
        <v>173</v>
      </c>
      <c r="U177" s="12">
        <v>42177</v>
      </c>
      <c r="V177" s="15">
        <f t="shared" ref="V177:V185" si="106">V$145+V$4/T$4/100</f>
        <v>2.5500000000000002E-2</v>
      </c>
      <c r="AA177" s="51">
        <v>173</v>
      </c>
      <c r="AB177" s="49">
        <v>41081</v>
      </c>
      <c r="AC177" s="50">
        <f>AC$146+AC$4/AA$4/100</f>
        <v>3.6499999999999998E-2</v>
      </c>
      <c r="AI177" s="255">
        <v>173</v>
      </c>
      <c r="AJ177" s="253">
        <v>42177</v>
      </c>
      <c r="AK177" s="256">
        <f t="shared" si="101"/>
        <v>4.4500000000000005E-2</v>
      </c>
      <c r="AL177" s="253">
        <v>42543</v>
      </c>
      <c r="AM177" s="256">
        <f t="shared" si="98"/>
        <v>2.5500000000000002E-2</v>
      </c>
      <c r="AO177" s="253">
        <v>42177</v>
      </c>
      <c r="AP177" s="256">
        <f t="shared" si="99"/>
        <v>7.8999999999999987E-2</v>
      </c>
      <c r="AQ177" s="253">
        <v>42543</v>
      </c>
      <c r="AR177" s="256">
        <f t="shared" si="100"/>
        <v>2.3499999999999997E-2</v>
      </c>
    </row>
    <row r="178" spans="4:44" hidden="1" x14ac:dyDescent="0.2">
      <c r="D178" s="14">
        <v>174</v>
      </c>
      <c r="E178" s="12">
        <v>41448</v>
      </c>
      <c r="F178" s="15">
        <f t="shared" si="102"/>
        <v>3.4500000000000003E-2</v>
      </c>
      <c r="H178" s="14">
        <v>174</v>
      </c>
      <c r="I178" s="12">
        <v>41813</v>
      </c>
      <c r="J178" s="15">
        <f t="shared" si="103"/>
        <v>3.2499999999999994E-2</v>
      </c>
      <c r="K178" s="4"/>
      <c r="L178" s="14">
        <v>174</v>
      </c>
      <c r="M178" s="12">
        <v>42178</v>
      </c>
      <c r="N178" s="15">
        <f t="shared" si="105"/>
        <v>2.7500000000000004E-2</v>
      </c>
      <c r="O178" s="141"/>
      <c r="P178" s="14">
        <v>174</v>
      </c>
      <c r="Q178" s="12">
        <v>41813</v>
      </c>
      <c r="R178" s="15">
        <f t="shared" si="104"/>
        <v>2.5500000000000002E-2</v>
      </c>
      <c r="S178" s="4"/>
      <c r="T178" s="14">
        <v>174</v>
      </c>
      <c r="U178" s="12">
        <v>42178</v>
      </c>
      <c r="V178" s="15">
        <f t="shared" si="106"/>
        <v>2.5500000000000002E-2</v>
      </c>
      <c r="AA178" s="14">
        <v>174</v>
      </c>
      <c r="AB178" s="12">
        <v>41082</v>
      </c>
      <c r="AC178" s="15">
        <f t="shared" ref="AC178:AC186" si="107">AC$146+AC$4/AA$4/100</f>
        <v>3.6499999999999998E-2</v>
      </c>
      <c r="AI178" s="255">
        <v>174</v>
      </c>
      <c r="AJ178" s="253">
        <v>42178</v>
      </c>
      <c r="AK178" s="256">
        <f t="shared" si="101"/>
        <v>4.4500000000000005E-2</v>
      </c>
      <c r="AL178" s="253">
        <v>42544</v>
      </c>
      <c r="AM178" s="256">
        <f t="shared" si="98"/>
        <v>2.5500000000000002E-2</v>
      </c>
      <c r="AO178" s="253">
        <v>42178</v>
      </c>
      <c r="AP178" s="256">
        <f t="shared" si="99"/>
        <v>7.8999999999999987E-2</v>
      </c>
      <c r="AQ178" s="253">
        <v>42544</v>
      </c>
      <c r="AR178" s="256">
        <f t="shared" si="100"/>
        <v>2.3499999999999997E-2</v>
      </c>
    </row>
    <row r="179" spans="4:44" hidden="1" x14ac:dyDescent="0.2">
      <c r="D179" s="14">
        <v>175</v>
      </c>
      <c r="E179" s="12">
        <v>41449</v>
      </c>
      <c r="F179" s="15">
        <f t="shared" si="102"/>
        <v>3.4500000000000003E-2</v>
      </c>
      <c r="H179" s="14">
        <v>175</v>
      </c>
      <c r="I179" s="12">
        <v>41814</v>
      </c>
      <c r="J179" s="15">
        <f t="shared" si="103"/>
        <v>3.2499999999999994E-2</v>
      </c>
      <c r="K179" s="4"/>
      <c r="L179" s="14">
        <v>175</v>
      </c>
      <c r="M179" s="12">
        <v>42179</v>
      </c>
      <c r="N179" s="15">
        <f t="shared" si="105"/>
        <v>2.7500000000000004E-2</v>
      </c>
      <c r="O179" s="141"/>
      <c r="P179" s="14">
        <v>175</v>
      </c>
      <c r="Q179" s="12">
        <v>41814</v>
      </c>
      <c r="R179" s="15">
        <f t="shared" si="104"/>
        <v>2.5500000000000002E-2</v>
      </c>
      <c r="S179" s="4"/>
      <c r="T179" s="14">
        <v>175</v>
      </c>
      <c r="U179" s="12">
        <v>42179</v>
      </c>
      <c r="V179" s="15">
        <f t="shared" si="106"/>
        <v>2.5500000000000002E-2</v>
      </c>
      <c r="AA179" s="14">
        <v>175</v>
      </c>
      <c r="AB179" s="12">
        <v>41083</v>
      </c>
      <c r="AC179" s="15">
        <f t="shared" si="107"/>
        <v>3.6499999999999998E-2</v>
      </c>
      <c r="AI179" s="255">
        <v>175</v>
      </c>
      <c r="AJ179" s="253">
        <v>42179</v>
      </c>
      <c r="AK179" s="256">
        <f t="shared" si="101"/>
        <v>4.4500000000000005E-2</v>
      </c>
      <c r="AL179" s="253">
        <v>42545</v>
      </c>
      <c r="AM179" s="256">
        <f t="shared" si="98"/>
        <v>2.5500000000000002E-2</v>
      </c>
      <c r="AO179" s="253">
        <v>42179</v>
      </c>
      <c r="AP179" s="256">
        <f t="shared" si="99"/>
        <v>7.8999999999999987E-2</v>
      </c>
      <c r="AQ179" s="253">
        <v>42545</v>
      </c>
      <c r="AR179" s="256">
        <f t="shared" si="100"/>
        <v>2.3499999999999997E-2</v>
      </c>
    </row>
    <row r="180" spans="4:44" hidden="1" x14ac:dyDescent="0.2">
      <c r="D180" s="14">
        <v>176</v>
      </c>
      <c r="E180" s="12">
        <v>41450</v>
      </c>
      <c r="F180" s="15">
        <f t="shared" si="102"/>
        <v>3.4500000000000003E-2</v>
      </c>
      <c r="H180" s="14">
        <v>176</v>
      </c>
      <c r="I180" s="12">
        <v>41815</v>
      </c>
      <c r="J180" s="15">
        <f t="shared" si="103"/>
        <v>3.2499999999999994E-2</v>
      </c>
      <c r="K180" s="4"/>
      <c r="L180" s="14">
        <v>176</v>
      </c>
      <c r="M180" s="12">
        <v>42180</v>
      </c>
      <c r="N180" s="15">
        <f t="shared" si="105"/>
        <v>2.7500000000000004E-2</v>
      </c>
      <c r="O180" s="141"/>
      <c r="P180" s="14">
        <v>176</v>
      </c>
      <c r="Q180" s="12">
        <v>41815</v>
      </c>
      <c r="R180" s="15">
        <f t="shared" si="104"/>
        <v>2.5500000000000002E-2</v>
      </c>
      <c r="S180" s="4"/>
      <c r="T180" s="14">
        <v>176</v>
      </c>
      <c r="U180" s="12">
        <v>42180</v>
      </c>
      <c r="V180" s="15">
        <f t="shared" si="106"/>
        <v>2.5500000000000002E-2</v>
      </c>
      <c r="AA180" s="14">
        <v>176</v>
      </c>
      <c r="AB180" s="12">
        <v>41084</v>
      </c>
      <c r="AC180" s="15">
        <f t="shared" si="107"/>
        <v>3.6499999999999998E-2</v>
      </c>
      <c r="AI180" s="255">
        <v>176</v>
      </c>
      <c r="AJ180" s="253">
        <v>42180</v>
      </c>
      <c r="AK180" s="256">
        <f t="shared" si="101"/>
        <v>4.4500000000000005E-2</v>
      </c>
      <c r="AL180" s="253">
        <v>42546</v>
      </c>
      <c r="AM180" s="256">
        <f t="shared" si="98"/>
        <v>2.5500000000000002E-2</v>
      </c>
      <c r="AO180" s="253">
        <v>42180</v>
      </c>
      <c r="AP180" s="256">
        <f t="shared" si="99"/>
        <v>7.8999999999999987E-2</v>
      </c>
      <c r="AQ180" s="253">
        <v>42546</v>
      </c>
      <c r="AR180" s="256">
        <f t="shared" si="100"/>
        <v>2.3499999999999997E-2</v>
      </c>
    </row>
    <row r="181" spans="4:44" hidden="1" x14ac:dyDescent="0.2">
      <c r="D181" s="14">
        <v>177</v>
      </c>
      <c r="E181" s="12">
        <v>41451</v>
      </c>
      <c r="F181" s="15">
        <f t="shared" si="102"/>
        <v>3.4500000000000003E-2</v>
      </c>
      <c r="H181" s="14">
        <v>177</v>
      </c>
      <c r="I181" s="12">
        <v>41816</v>
      </c>
      <c r="J181" s="15">
        <f t="shared" si="103"/>
        <v>3.2499999999999994E-2</v>
      </c>
      <c r="K181" s="4"/>
      <c r="L181" s="14">
        <v>177</v>
      </c>
      <c r="M181" s="12">
        <v>42181</v>
      </c>
      <c r="N181" s="15">
        <f t="shared" si="105"/>
        <v>2.7500000000000004E-2</v>
      </c>
      <c r="O181" s="141"/>
      <c r="P181" s="14">
        <v>177</v>
      </c>
      <c r="Q181" s="12">
        <v>41816</v>
      </c>
      <c r="R181" s="15">
        <f t="shared" si="104"/>
        <v>2.5500000000000002E-2</v>
      </c>
      <c r="S181" s="4"/>
      <c r="T181" s="14">
        <v>177</v>
      </c>
      <c r="U181" s="12">
        <v>42181</v>
      </c>
      <c r="V181" s="15">
        <f t="shared" si="106"/>
        <v>2.5500000000000002E-2</v>
      </c>
      <c r="AA181" s="14">
        <v>177</v>
      </c>
      <c r="AB181" s="12">
        <v>41085</v>
      </c>
      <c r="AC181" s="15">
        <f t="shared" si="107"/>
        <v>3.6499999999999998E-2</v>
      </c>
      <c r="AI181" s="255">
        <v>177</v>
      </c>
      <c r="AJ181" s="253">
        <v>42181</v>
      </c>
      <c r="AK181" s="256">
        <f t="shared" si="101"/>
        <v>4.4500000000000005E-2</v>
      </c>
      <c r="AL181" s="253">
        <v>42547</v>
      </c>
      <c r="AM181" s="256">
        <f t="shared" si="98"/>
        <v>2.5500000000000002E-2</v>
      </c>
      <c r="AO181" s="253">
        <v>42181</v>
      </c>
      <c r="AP181" s="256">
        <f t="shared" si="99"/>
        <v>7.8999999999999987E-2</v>
      </c>
      <c r="AQ181" s="253">
        <v>42547</v>
      </c>
      <c r="AR181" s="256">
        <f t="shared" si="100"/>
        <v>2.3499999999999997E-2</v>
      </c>
    </row>
    <row r="182" spans="4:44" hidden="1" x14ac:dyDescent="0.2">
      <c r="D182" s="14">
        <v>178</v>
      </c>
      <c r="E182" s="12">
        <v>41452</v>
      </c>
      <c r="F182" s="15">
        <f t="shared" si="102"/>
        <v>3.4500000000000003E-2</v>
      </c>
      <c r="H182" s="14">
        <v>178</v>
      </c>
      <c r="I182" s="12">
        <v>41817</v>
      </c>
      <c r="J182" s="15">
        <f t="shared" si="103"/>
        <v>3.2499999999999994E-2</v>
      </c>
      <c r="K182" s="4"/>
      <c r="L182" s="14">
        <v>178</v>
      </c>
      <c r="M182" s="12">
        <v>42182</v>
      </c>
      <c r="N182" s="15">
        <f t="shared" si="105"/>
        <v>2.7500000000000004E-2</v>
      </c>
      <c r="O182" s="141"/>
      <c r="P182" s="14">
        <v>178</v>
      </c>
      <c r="Q182" s="12">
        <v>41817</v>
      </c>
      <c r="R182" s="15">
        <f t="shared" si="104"/>
        <v>2.5500000000000002E-2</v>
      </c>
      <c r="S182" s="4"/>
      <c r="T182" s="14">
        <v>178</v>
      </c>
      <c r="U182" s="12">
        <v>42182</v>
      </c>
      <c r="V182" s="15">
        <f t="shared" si="106"/>
        <v>2.5500000000000002E-2</v>
      </c>
      <c r="AA182" s="14">
        <v>178</v>
      </c>
      <c r="AB182" s="12">
        <v>41086</v>
      </c>
      <c r="AC182" s="15">
        <f t="shared" si="107"/>
        <v>3.6499999999999998E-2</v>
      </c>
      <c r="AI182" s="255">
        <v>178</v>
      </c>
      <c r="AJ182" s="253">
        <v>42182</v>
      </c>
      <c r="AK182" s="256">
        <f t="shared" si="101"/>
        <v>4.4500000000000005E-2</v>
      </c>
      <c r="AL182" s="253">
        <v>42548</v>
      </c>
      <c r="AM182" s="256">
        <f t="shared" si="98"/>
        <v>2.5500000000000002E-2</v>
      </c>
      <c r="AO182" s="253">
        <v>42182</v>
      </c>
      <c r="AP182" s="256">
        <f t="shared" si="99"/>
        <v>7.8999999999999987E-2</v>
      </c>
      <c r="AQ182" s="253">
        <v>42548</v>
      </c>
      <c r="AR182" s="256">
        <f t="shared" si="100"/>
        <v>2.3499999999999997E-2</v>
      </c>
    </row>
    <row r="183" spans="4:44" hidden="1" x14ac:dyDescent="0.2">
      <c r="D183" s="14">
        <v>179</v>
      </c>
      <c r="E183" s="12">
        <v>41453</v>
      </c>
      <c r="F183" s="15">
        <f t="shared" si="102"/>
        <v>3.4500000000000003E-2</v>
      </c>
      <c r="H183" s="14">
        <v>179</v>
      </c>
      <c r="I183" s="12">
        <v>41818</v>
      </c>
      <c r="J183" s="15">
        <f t="shared" si="103"/>
        <v>3.2499999999999994E-2</v>
      </c>
      <c r="K183" s="4"/>
      <c r="L183" s="14">
        <v>179</v>
      </c>
      <c r="M183" s="12">
        <v>42183</v>
      </c>
      <c r="N183" s="15">
        <f t="shared" si="105"/>
        <v>2.7500000000000004E-2</v>
      </c>
      <c r="O183" s="141"/>
      <c r="P183" s="14">
        <v>179</v>
      </c>
      <c r="Q183" s="12">
        <v>41818</v>
      </c>
      <c r="R183" s="15">
        <f t="shared" si="104"/>
        <v>2.5500000000000002E-2</v>
      </c>
      <c r="S183" s="4"/>
      <c r="T183" s="14">
        <v>179</v>
      </c>
      <c r="U183" s="12">
        <v>42183</v>
      </c>
      <c r="V183" s="15">
        <f t="shared" si="106"/>
        <v>2.5500000000000002E-2</v>
      </c>
      <c r="AA183" s="14">
        <v>179</v>
      </c>
      <c r="AB183" s="12">
        <v>41087</v>
      </c>
      <c r="AC183" s="15">
        <f t="shared" si="107"/>
        <v>3.6499999999999998E-2</v>
      </c>
      <c r="AI183" s="255">
        <v>179</v>
      </c>
      <c r="AJ183" s="253">
        <v>42183</v>
      </c>
      <c r="AK183" s="256">
        <f t="shared" si="101"/>
        <v>4.4500000000000005E-2</v>
      </c>
      <c r="AL183" s="253">
        <v>42549</v>
      </c>
      <c r="AM183" s="256">
        <f t="shared" si="98"/>
        <v>2.5500000000000002E-2</v>
      </c>
      <c r="AO183" s="253">
        <v>42183</v>
      </c>
      <c r="AP183" s="256">
        <f t="shared" si="99"/>
        <v>7.8999999999999987E-2</v>
      </c>
      <c r="AQ183" s="253">
        <v>42549</v>
      </c>
      <c r="AR183" s="256">
        <f t="shared" si="100"/>
        <v>2.3499999999999997E-2</v>
      </c>
    </row>
    <row r="184" spans="4:44" hidden="1" x14ac:dyDescent="0.2">
      <c r="D184" s="14">
        <v>180</v>
      </c>
      <c r="E184" s="12">
        <v>41454</v>
      </c>
      <c r="F184" s="15">
        <f t="shared" si="102"/>
        <v>3.4500000000000003E-2</v>
      </c>
      <c r="H184" s="14">
        <v>180</v>
      </c>
      <c r="I184" s="12">
        <v>41819</v>
      </c>
      <c r="J184" s="15">
        <f t="shared" si="103"/>
        <v>3.2499999999999994E-2</v>
      </c>
      <c r="K184" s="4"/>
      <c r="L184" s="14">
        <v>180</v>
      </c>
      <c r="M184" s="12">
        <v>42184</v>
      </c>
      <c r="N184" s="15">
        <f t="shared" si="105"/>
        <v>2.7500000000000004E-2</v>
      </c>
      <c r="O184" s="141"/>
      <c r="P184" s="14">
        <v>180</v>
      </c>
      <c r="Q184" s="12">
        <v>41819</v>
      </c>
      <c r="R184" s="15">
        <f t="shared" si="104"/>
        <v>2.5500000000000002E-2</v>
      </c>
      <c r="S184" s="4"/>
      <c r="T184" s="14">
        <v>180</v>
      </c>
      <c r="U184" s="12">
        <v>42184</v>
      </c>
      <c r="V184" s="15">
        <f t="shared" si="106"/>
        <v>2.5500000000000002E-2</v>
      </c>
      <c r="AA184" s="14">
        <v>180</v>
      </c>
      <c r="AB184" s="12">
        <v>41088</v>
      </c>
      <c r="AC184" s="15">
        <f t="shared" si="107"/>
        <v>3.6499999999999998E-2</v>
      </c>
      <c r="AI184" s="255">
        <v>180</v>
      </c>
      <c r="AJ184" s="253">
        <v>42184</v>
      </c>
      <c r="AK184" s="256">
        <f t="shared" si="101"/>
        <v>4.4500000000000005E-2</v>
      </c>
      <c r="AL184" s="253">
        <v>42550</v>
      </c>
      <c r="AM184" s="256">
        <f t="shared" si="98"/>
        <v>2.5500000000000002E-2</v>
      </c>
      <c r="AO184" s="253">
        <v>42184</v>
      </c>
      <c r="AP184" s="256">
        <f t="shared" si="99"/>
        <v>7.8999999999999987E-2</v>
      </c>
      <c r="AQ184" s="253">
        <v>42550</v>
      </c>
      <c r="AR184" s="256">
        <f t="shared" si="100"/>
        <v>2.3499999999999997E-2</v>
      </c>
    </row>
    <row r="185" spans="4:44" hidden="1" x14ac:dyDescent="0.2">
      <c r="D185" s="14">
        <v>181</v>
      </c>
      <c r="E185" s="12">
        <v>41455</v>
      </c>
      <c r="F185" s="15">
        <f t="shared" si="102"/>
        <v>3.4500000000000003E-2</v>
      </c>
      <c r="H185" s="14">
        <v>181</v>
      </c>
      <c r="I185" s="12">
        <v>41820</v>
      </c>
      <c r="J185" s="15">
        <f t="shared" si="103"/>
        <v>3.2499999999999994E-2</v>
      </c>
      <c r="K185" s="4"/>
      <c r="L185" s="14">
        <v>181</v>
      </c>
      <c r="M185" s="12">
        <v>42185</v>
      </c>
      <c r="N185" s="15">
        <f t="shared" si="105"/>
        <v>2.7500000000000004E-2</v>
      </c>
      <c r="O185" s="141"/>
      <c r="P185" s="14">
        <v>181</v>
      </c>
      <c r="Q185" s="12">
        <v>41820</v>
      </c>
      <c r="R185" s="15">
        <f t="shared" si="104"/>
        <v>2.5500000000000002E-2</v>
      </c>
      <c r="S185" s="4"/>
      <c r="T185" s="14">
        <v>181</v>
      </c>
      <c r="U185" s="12">
        <v>42185</v>
      </c>
      <c r="V185" s="15">
        <f t="shared" si="106"/>
        <v>2.5500000000000002E-2</v>
      </c>
      <c r="AA185" s="14">
        <v>181</v>
      </c>
      <c r="AB185" s="12">
        <v>41089</v>
      </c>
      <c r="AC185" s="15">
        <f t="shared" si="107"/>
        <v>3.6499999999999998E-2</v>
      </c>
      <c r="AI185" s="255">
        <v>181</v>
      </c>
      <c r="AJ185" s="253">
        <v>42185</v>
      </c>
      <c r="AK185" s="256">
        <f t="shared" si="101"/>
        <v>4.4500000000000005E-2</v>
      </c>
      <c r="AL185" s="253">
        <v>42551</v>
      </c>
      <c r="AM185" s="256">
        <f t="shared" si="98"/>
        <v>2.5500000000000002E-2</v>
      </c>
      <c r="AO185" s="253">
        <v>42185</v>
      </c>
      <c r="AP185" s="256">
        <f t="shared" si="99"/>
        <v>7.8999999999999987E-2</v>
      </c>
      <c r="AQ185" s="253">
        <v>42551</v>
      </c>
      <c r="AR185" s="256">
        <f t="shared" si="100"/>
        <v>2.3499999999999997E-2</v>
      </c>
    </row>
    <row r="186" spans="4:44" hidden="1" x14ac:dyDescent="0.2">
      <c r="D186" s="14">
        <v>182</v>
      </c>
      <c r="E186" s="12">
        <v>41456</v>
      </c>
      <c r="F186" s="50">
        <f t="shared" ref="F186:F205" si="108">F$157+F$4/D$4/100</f>
        <v>3.7375000000000005E-2</v>
      </c>
      <c r="H186" s="14">
        <v>182</v>
      </c>
      <c r="I186" s="12">
        <v>41821</v>
      </c>
      <c r="J186" s="50">
        <f t="shared" ref="J186:J205" si="109">J$157+J$4/H$4/100</f>
        <v>3.5208333333333328E-2</v>
      </c>
      <c r="K186" s="4"/>
      <c r="L186" s="14">
        <v>182</v>
      </c>
      <c r="M186" s="12">
        <v>42186</v>
      </c>
      <c r="N186" s="50">
        <f>N$157+N$4/L$4/100</f>
        <v>2.9791666666666675E-2</v>
      </c>
      <c r="O186" s="141"/>
      <c r="P186" s="14">
        <v>182</v>
      </c>
      <c r="Q186" s="12">
        <v>41821</v>
      </c>
      <c r="R186" s="50">
        <f t="shared" ref="R186:R205" si="110">R$157+R$4/P$4/100</f>
        <v>2.7625000000000004E-2</v>
      </c>
      <c r="S186" s="4"/>
      <c r="T186" s="14">
        <v>182</v>
      </c>
      <c r="U186" s="12">
        <v>42186</v>
      </c>
      <c r="V186" s="50">
        <f>V$157+V$4/T$4/100</f>
        <v>2.7625000000000004E-2</v>
      </c>
      <c r="AA186" s="51">
        <v>182</v>
      </c>
      <c r="AB186" s="12">
        <v>41090</v>
      </c>
      <c r="AC186" s="15">
        <f t="shared" si="107"/>
        <v>3.6499999999999998E-2</v>
      </c>
      <c r="AI186" s="255">
        <v>182</v>
      </c>
      <c r="AJ186" s="258">
        <v>42186</v>
      </c>
      <c r="AK186" s="256">
        <f t="shared" si="101"/>
        <v>4.4500000000000005E-2</v>
      </c>
      <c r="AL186" s="253">
        <v>42552</v>
      </c>
      <c r="AM186" s="256">
        <f t="shared" si="98"/>
        <v>2.5500000000000002E-2</v>
      </c>
      <c r="AO186" s="258">
        <v>42186</v>
      </c>
      <c r="AP186" s="256">
        <f t="shared" si="99"/>
        <v>7.8999999999999987E-2</v>
      </c>
      <c r="AQ186" s="253">
        <v>42552</v>
      </c>
      <c r="AR186" s="256">
        <f t="shared" si="100"/>
        <v>2.3499999999999997E-2</v>
      </c>
    </row>
    <row r="187" spans="4:44" hidden="1" x14ac:dyDescent="0.2">
      <c r="D187" s="14">
        <v>183</v>
      </c>
      <c r="E187" s="12">
        <v>41457</v>
      </c>
      <c r="F187" s="15">
        <f t="shared" si="108"/>
        <v>3.7375000000000005E-2</v>
      </c>
      <c r="H187" s="14">
        <v>183</v>
      </c>
      <c r="I187" s="12">
        <v>41822</v>
      </c>
      <c r="J187" s="15">
        <f t="shared" si="109"/>
        <v>3.5208333333333328E-2</v>
      </c>
      <c r="K187" s="4"/>
      <c r="L187" s="14">
        <v>183</v>
      </c>
      <c r="M187" s="12">
        <v>42187</v>
      </c>
      <c r="N187" s="15">
        <f t="shared" ref="N187:N205" si="111">N$157+N$4/L$4/100</f>
        <v>2.9791666666666675E-2</v>
      </c>
      <c r="O187" s="141"/>
      <c r="P187" s="14">
        <v>183</v>
      </c>
      <c r="Q187" s="12">
        <v>41822</v>
      </c>
      <c r="R187" s="15">
        <f t="shared" si="110"/>
        <v>2.7625000000000004E-2</v>
      </c>
      <c r="S187" s="4"/>
      <c r="T187" s="14">
        <v>183</v>
      </c>
      <c r="U187" s="12">
        <v>42187</v>
      </c>
      <c r="V187" s="15">
        <f t="shared" ref="V187:V205" si="112">V$157+V$4/T$4/100</f>
        <v>2.7625000000000004E-2</v>
      </c>
      <c r="AA187" s="51">
        <v>183</v>
      </c>
      <c r="AB187" s="49">
        <v>41091</v>
      </c>
      <c r="AC187" s="50">
        <f t="shared" ref="AC187:AC205" si="113">AC$157+AC$4/AA$4/100</f>
        <v>3.9541666666666669E-2</v>
      </c>
      <c r="AI187" s="255">
        <v>183</v>
      </c>
      <c r="AJ187" s="253">
        <v>42187</v>
      </c>
      <c r="AK187" s="256">
        <f t="shared" si="101"/>
        <v>4.4500000000000005E-2</v>
      </c>
      <c r="AL187" s="253">
        <v>42553</v>
      </c>
      <c r="AM187" s="256">
        <f t="shared" si="98"/>
        <v>2.5500000000000002E-2</v>
      </c>
      <c r="AO187" s="253">
        <v>42187</v>
      </c>
      <c r="AP187" s="256">
        <f t="shared" si="99"/>
        <v>7.8999999999999987E-2</v>
      </c>
      <c r="AQ187" s="253">
        <v>42553</v>
      </c>
      <c r="AR187" s="256">
        <f t="shared" si="100"/>
        <v>2.3499999999999997E-2</v>
      </c>
    </row>
    <row r="188" spans="4:44" hidden="1" x14ac:dyDescent="0.2">
      <c r="D188" s="14">
        <v>184</v>
      </c>
      <c r="E188" s="12">
        <v>41458</v>
      </c>
      <c r="F188" s="15">
        <f t="shared" si="108"/>
        <v>3.7375000000000005E-2</v>
      </c>
      <c r="H188" s="14">
        <v>184</v>
      </c>
      <c r="I188" s="12">
        <v>41823</v>
      </c>
      <c r="J188" s="15">
        <f t="shared" si="109"/>
        <v>3.5208333333333328E-2</v>
      </c>
      <c r="K188" s="4"/>
      <c r="L188" s="14">
        <v>184</v>
      </c>
      <c r="M188" s="12">
        <v>42188</v>
      </c>
      <c r="N188" s="15">
        <f t="shared" si="111"/>
        <v>2.9791666666666675E-2</v>
      </c>
      <c r="O188" s="141"/>
      <c r="P188" s="14">
        <v>184</v>
      </c>
      <c r="Q188" s="12">
        <v>41823</v>
      </c>
      <c r="R188" s="15">
        <f t="shared" si="110"/>
        <v>2.7625000000000004E-2</v>
      </c>
      <c r="S188" s="4"/>
      <c r="T188" s="14">
        <v>184</v>
      </c>
      <c r="U188" s="12">
        <v>42188</v>
      </c>
      <c r="V188" s="15">
        <f t="shared" si="112"/>
        <v>2.7625000000000004E-2</v>
      </c>
      <c r="AA188" s="14">
        <v>184</v>
      </c>
      <c r="AB188" s="12">
        <v>41092</v>
      </c>
      <c r="AC188" s="15">
        <f t="shared" si="113"/>
        <v>3.9541666666666669E-2</v>
      </c>
      <c r="AI188" s="255">
        <v>184</v>
      </c>
      <c r="AJ188" s="253">
        <v>42188</v>
      </c>
      <c r="AK188" s="256">
        <f t="shared" si="101"/>
        <v>4.4500000000000005E-2</v>
      </c>
      <c r="AL188" s="253">
        <v>42554</v>
      </c>
      <c r="AM188" s="256">
        <f t="shared" si="98"/>
        <v>2.5500000000000002E-2</v>
      </c>
      <c r="AO188" s="253">
        <v>42188</v>
      </c>
      <c r="AP188" s="256">
        <f t="shared" si="99"/>
        <v>7.8999999999999987E-2</v>
      </c>
      <c r="AQ188" s="253">
        <v>42554</v>
      </c>
      <c r="AR188" s="256">
        <f t="shared" si="100"/>
        <v>2.3499999999999997E-2</v>
      </c>
    </row>
    <row r="189" spans="4:44" hidden="1" x14ac:dyDescent="0.2">
      <c r="D189" s="14">
        <v>185</v>
      </c>
      <c r="E189" s="12">
        <v>41459</v>
      </c>
      <c r="F189" s="15">
        <f t="shared" si="108"/>
        <v>3.7375000000000005E-2</v>
      </c>
      <c r="H189" s="14">
        <v>185</v>
      </c>
      <c r="I189" s="12">
        <v>41824</v>
      </c>
      <c r="J189" s="15">
        <f t="shared" si="109"/>
        <v>3.5208333333333328E-2</v>
      </c>
      <c r="K189" s="4"/>
      <c r="L189" s="14">
        <v>185</v>
      </c>
      <c r="M189" s="12">
        <v>42189</v>
      </c>
      <c r="N189" s="15">
        <f t="shared" si="111"/>
        <v>2.9791666666666675E-2</v>
      </c>
      <c r="O189" s="141"/>
      <c r="P189" s="14">
        <v>185</v>
      </c>
      <c r="Q189" s="12">
        <v>41824</v>
      </c>
      <c r="R189" s="15">
        <f t="shared" si="110"/>
        <v>2.7625000000000004E-2</v>
      </c>
      <c r="S189" s="4"/>
      <c r="T189" s="14">
        <v>185</v>
      </c>
      <c r="U189" s="12">
        <v>42189</v>
      </c>
      <c r="V189" s="15">
        <f t="shared" si="112"/>
        <v>2.7625000000000004E-2</v>
      </c>
      <c r="AA189" s="14">
        <v>185</v>
      </c>
      <c r="AB189" s="12">
        <v>41093</v>
      </c>
      <c r="AC189" s="15">
        <f t="shared" si="113"/>
        <v>3.9541666666666669E-2</v>
      </c>
      <c r="AI189" s="255">
        <v>185</v>
      </c>
      <c r="AJ189" s="253">
        <v>42189</v>
      </c>
      <c r="AK189" s="256">
        <f t="shared" si="101"/>
        <v>4.4500000000000005E-2</v>
      </c>
      <c r="AL189" s="253">
        <v>42555</v>
      </c>
      <c r="AM189" s="256">
        <f t="shared" si="98"/>
        <v>2.5500000000000002E-2</v>
      </c>
      <c r="AO189" s="253">
        <v>42189</v>
      </c>
      <c r="AP189" s="256">
        <f t="shared" si="99"/>
        <v>7.8999999999999987E-2</v>
      </c>
      <c r="AQ189" s="253">
        <v>42555</v>
      </c>
      <c r="AR189" s="256">
        <f t="shared" si="100"/>
        <v>2.3499999999999997E-2</v>
      </c>
    </row>
    <row r="190" spans="4:44" hidden="1" x14ac:dyDescent="0.2">
      <c r="D190" s="14">
        <v>186</v>
      </c>
      <c r="E190" s="12">
        <v>41460</v>
      </c>
      <c r="F190" s="15">
        <f t="shared" si="108"/>
        <v>3.7375000000000005E-2</v>
      </c>
      <c r="H190" s="14">
        <v>186</v>
      </c>
      <c r="I190" s="12">
        <v>41825</v>
      </c>
      <c r="J190" s="15">
        <f t="shared" si="109"/>
        <v>3.5208333333333328E-2</v>
      </c>
      <c r="K190" s="4"/>
      <c r="L190" s="14">
        <v>186</v>
      </c>
      <c r="M190" s="12">
        <v>42190</v>
      </c>
      <c r="N190" s="15">
        <f t="shared" si="111"/>
        <v>2.9791666666666675E-2</v>
      </c>
      <c r="O190" s="141"/>
      <c r="P190" s="14">
        <v>186</v>
      </c>
      <c r="Q190" s="12">
        <v>41825</v>
      </c>
      <c r="R190" s="15">
        <f t="shared" si="110"/>
        <v>2.7625000000000004E-2</v>
      </c>
      <c r="S190" s="4"/>
      <c r="T190" s="14">
        <v>186</v>
      </c>
      <c r="U190" s="12">
        <v>42190</v>
      </c>
      <c r="V190" s="15">
        <f t="shared" si="112"/>
        <v>2.7625000000000004E-2</v>
      </c>
      <c r="AA190" s="14">
        <v>186</v>
      </c>
      <c r="AB190" s="12">
        <v>41094</v>
      </c>
      <c r="AC190" s="15">
        <f t="shared" si="113"/>
        <v>3.9541666666666669E-2</v>
      </c>
      <c r="AI190" s="255">
        <v>186</v>
      </c>
      <c r="AJ190" s="253">
        <v>42190</v>
      </c>
      <c r="AK190" s="256">
        <f t="shared" si="101"/>
        <v>4.4500000000000005E-2</v>
      </c>
      <c r="AL190" s="253">
        <v>42556</v>
      </c>
      <c r="AM190" s="256">
        <f t="shared" si="98"/>
        <v>2.5500000000000002E-2</v>
      </c>
      <c r="AO190" s="253">
        <v>42190</v>
      </c>
      <c r="AP190" s="256">
        <f t="shared" si="99"/>
        <v>7.8999999999999987E-2</v>
      </c>
      <c r="AQ190" s="253">
        <v>42556</v>
      </c>
      <c r="AR190" s="256">
        <f t="shared" si="100"/>
        <v>2.3499999999999997E-2</v>
      </c>
    </row>
    <row r="191" spans="4:44" hidden="1" x14ac:dyDescent="0.2">
      <c r="D191" s="14">
        <v>187</v>
      </c>
      <c r="E191" s="12">
        <v>41461</v>
      </c>
      <c r="F191" s="15">
        <f t="shared" si="108"/>
        <v>3.7375000000000005E-2</v>
      </c>
      <c r="H191" s="14">
        <v>187</v>
      </c>
      <c r="I191" s="12">
        <v>41826</v>
      </c>
      <c r="J191" s="15">
        <f t="shared" si="109"/>
        <v>3.5208333333333328E-2</v>
      </c>
      <c r="K191" s="4"/>
      <c r="L191" s="14">
        <v>187</v>
      </c>
      <c r="M191" s="12">
        <v>42191</v>
      </c>
      <c r="N191" s="15">
        <f t="shared" si="111"/>
        <v>2.9791666666666675E-2</v>
      </c>
      <c r="O191" s="141"/>
      <c r="P191" s="14">
        <v>187</v>
      </c>
      <c r="Q191" s="12">
        <v>41826</v>
      </c>
      <c r="R191" s="15">
        <f t="shared" si="110"/>
        <v>2.7625000000000004E-2</v>
      </c>
      <c r="S191" s="4"/>
      <c r="T191" s="14">
        <v>187</v>
      </c>
      <c r="U191" s="12">
        <v>42191</v>
      </c>
      <c r="V191" s="15">
        <f t="shared" si="112"/>
        <v>2.7625000000000004E-2</v>
      </c>
      <c r="AA191" s="14">
        <v>187</v>
      </c>
      <c r="AB191" s="12">
        <v>41095</v>
      </c>
      <c r="AC191" s="15">
        <f t="shared" si="113"/>
        <v>3.9541666666666669E-2</v>
      </c>
      <c r="AI191" s="255">
        <v>187</v>
      </c>
      <c r="AJ191" s="253">
        <v>42191</v>
      </c>
      <c r="AK191" s="259">
        <f>AK$190+AK$4/AI$4/100</f>
        <v>5.1916666666666673E-2</v>
      </c>
      <c r="AL191" s="253">
        <v>42557</v>
      </c>
      <c r="AM191" s="259">
        <f t="shared" ref="AM191:AM221" si="114">AM$190+AM$4/AI$4/100</f>
        <v>2.9750000000000002E-2</v>
      </c>
      <c r="AO191" s="253">
        <v>42191</v>
      </c>
      <c r="AP191" s="259">
        <f t="shared" ref="AP191:AP221" si="115">AP$190+AP$4/$AI$4/100</f>
        <v>9.2166666666666647E-2</v>
      </c>
      <c r="AQ191" s="253">
        <v>42557</v>
      </c>
      <c r="AR191" s="259">
        <f t="shared" ref="AR191:AR221" si="116">AR$190+AR$4/$AI$4/100</f>
        <v>2.7416666666666662E-2</v>
      </c>
    </row>
    <row r="192" spans="4:44" hidden="1" x14ac:dyDescent="0.2">
      <c r="D192" s="14">
        <v>188</v>
      </c>
      <c r="E192" s="12">
        <v>41462</v>
      </c>
      <c r="F192" s="15">
        <f t="shared" si="108"/>
        <v>3.7375000000000005E-2</v>
      </c>
      <c r="H192" s="14">
        <v>188</v>
      </c>
      <c r="I192" s="12">
        <v>41827</v>
      </c>
      <c r="J192" s="15">
        <f t="shared" si="109"/>
        <v>3.5208333333333328E-2</v>
      </c>
      <c r="K192" s="4"/>
      <c r="L192" s="14">
        <v>188</v>
      </c>
      <c r="M192" s="12">
        <v>42192</v>
      </c>
      <c r="N192" s="15">
        <f t="shared" si="111"/>
        <v>2.9791666666666675E-2</v>
      </c>
      <c r="O192" s="141"/>
      <c r="P192" s="14">
        <v>188</v>
      </c>
      <c r="Q192" s="12">
        <v>41827</v>
      </c>
      <c r="R192" s="15">
        <f t="shared" si="110"/>
        <v>2.7625000000000004E-2</v>
      </c>
      <c r="S192" s="4"/>
      <c r="T192" s="14">
        <v>188</v>
      </c>
      <c r="U192" s="12">
        <v>42192</v>
      </c>
      <c r="V192" s="15">
        <f t="shared" si="112"/>
        <v>2.7625000000000004E-2</v>
      </c>
      <c r="AA192" s="14">
        <v>188</v>
      </c>
      <c r="AB192" s="12">
        <v>41096</v>
      </c>
      <c r="AC192" s="15">
        <f t="shared" si="113"/>
        <v>3.9541666666666669E-2</v>
      </c>
      <c r="AI192" s="255">
        <v>188</v>
      </c>
      <c r="AJ192" s="253">
        <v>42192</v>
      </c>
      <c r="AK192" s="256">
        <f t="shared" ref="AK192:AK221" si="117">AK$190+AK$4/AI$4/100</f>
        <v>5.1916666666666673E-2</v>
      </c>
      <c r="AL192" s="253">
        <v>42558</v>
      </c>
      <c r="AM192" s="256">
        <f t="shared" si="114"/>
        <v>2.9750000000000002E-2</v>
      </c>
      <c r="AO192" s="253">
        <v>42192</v>
      </c>
      <c r="AP192" s="256">
        <f t="shared" si="115"/>
        <v>9.2166666666666647E-2</v>
      </c>
      <c r="AQ192" s="253">
        <v>42558</v>
      </c>
      <c r="AR192" s="256">
        <f t="shared" si="116"/>
        <v>2.7416666666666662E-2</v>
      </c>
    </row>
    <row r="193" spans="4:44" hidden="1" x14ac:dyDescent="0.2">
      <c r="D193" s="14">
        <v>189</v>
      </c>
      <c r="E193" s="12">
        <v>41463</v>
      </c>
      <c r="F193" s="15">
        <f t="shared" si="108"/>
        <v>3.7375000000000005E-2</v>
      </c>
      <c r="H193" s="14">
        <v>189</v>
      </c>
      <c r="I193" s="12">
        <v>41828</v>
      </c>
      <c r="J193" s="15">
        <f t="shared" si="109"/>
        <v>3.5208333333333328E-2</v>
      </c>
      <c r="K193" s="4"/>
      <c r="L193" s="14">
        <v>189</v>
      </c>
      <c r="M193" s="12">
        <v>42193</v>
      </c>
      <c r="N193" s="15">
        <f t="shared" si="111"/>
        <v>2.9791666666666675E-2</v>
      </c>
      <c r="O193" s="141"/>
      <c r="P193" s="14">
        <v>189</v>
      </c>
      <c r="Q193" s="12">
        <v>41828</v>
      </c>
      <c r="R193" s="15">
        <f t="shared" si="110"/>
        <v>2.7625000000000004E-2</v>
      </c>
      <c r="S193" s="4"/>
      <c r="T193" s="14">
        <v>189</v>
      </c>
      <c r="U193" s="12">
        <v>42193</v>
      </c>
      <c r="V193" s="15">
        <f t="shared" si="112"/>
        <v>2.7625000000000004E-2</v>
      </c>
      <c r="AA193" s="14">
        <v>189</v>
      </c>
      <c r="AB193" s="12">
        <v>41097</v>
      </c>
      <c r="AC193" s="15">
        <f t="shared" si="113"/>
        <v>3.9541666666666669E-2</v>
      </c>
      <c r="AI193" s="255">
        <v>189</v>
      </c>
      <c r="AJ193" s="253">
        <v>42193</v>
      </c>
      <c r="AK193" s="256">
        <f t="shared" si="117"/>
        <v>5.1916666666666673E-2</v>
      </c>
      <c r="AL193" s="253">
        <v>42559</v>
      </c>
      <c r="AM193" s="256">
        <f t="shared" si="114"/>
        <v>2.9750000000000002E-2</v>
      </c>
      <c r="AO193" s="253">
        <v>42193</v>
      </c>
      <c r="AP193" s="256">
        <f t="shared" si="115"/>
        <v>9.2166666666666647E-2</v>
      </c>
      <c r="AQ193" s="253">
        <v>42559</v>
      </c>
      <c r="AR193" s="256">
        <f t="shared" si="116"/>
        <v>2.7416666666666662E-2</v>
      </c>
    </row>
    <row r="194" spans="4:44" hidden="1" x14ac:dyDescent="0.2">
      <c r="D194" s="14">
        <v>190</v>
      </c>
      <c r="E194" s="12">
        <v>41464</v>
      </c>
      <c r="F194" s="15">
        <f t="shared" si="108"/>
        <v>3.7375000000000005E-2</v>
      </c>
      <c r="H194" s="14">
        <v>190</v>
      </c>
      <c r="I194" s="12">
        <v>41829</v>
      </c>
      <c r="J194" s="15">
        <f t="shared" si="109"/>
        <v>3.5208333333333328E-2</v>
      </c>
      <c r="K194" s="4"/>
      <c r="L194" s="14">
        <v>190</v>
      </c>
      <c r="M194" s="12">
        <v>42194</v>
      </c>
      <c r="N194" s="15">
        <f t="shared" si="111"/>
        <v>2.9791666666666675E-2</v>
      </c>
      <c r="O194" s="141"/>
      <c r="P194" s="14">
        <v>190</v>
      </c>
      <c r="Q194" s="12">
        <v>41829</v>
      </c>
      <c r="R194" s="15">
        <f t="shared" si="110"/>
        <v>2.7625000000000004E-2</v>
      </c>
      <c r="S194" s="4"/>
      <c r="T194" s="14">
        <v>190</v>
      </c>
      <c r="U194" s="12">
        <v>42194</v>
      </c>
      <c r="V194" s="15">
        <f t="shared" si="112"/>
        <v>2.7625000000000004E-2</v>
      </c>
      <c r="AA194" s="14">
        <v>190</v>
      </c>
      <c r="AB194" s="12">
        <v>41098</v>
      </c>
      <c r="AC194" s="15">
        <f t="shared" si="113"/>
        <v>3.9541666666666669E-2</v>
      </c>
      <c r="AI194" s="255">
        <v>190</v>
      </c>
      <c r="AJ194" s="253">
        <v>42194</v>
      </c>
      <c r="AK194" s="256">
        <f t="shared" si="117"/>
        <v>5.1916666666666673E-2</v>
      </c>
      <c r="AL194" s="253">
        <v>42560</v>
      </c>
      <c r="AM194" s="256">
        <f t="shared" si="114"/>
        <v>2.9750000000000002E-2</v>
      </c>
      <c r="AO194" s="253">
        <v>42194</v>
      </c>
      <c r="AP194" s="256">
        <f t="shared" si="115"/>
        <v>9.2166666666666647E-2</v>
      </c>
      <c r="AQ194" s="253">
        <v>42560</v>
      </c>
      <c r="AR194" s="256">
        <f t="shared" si="116"/>
        <v>2.7416666666666662E-2</v>
      </c>
    </row>
    <row r="195" spans="4:44" hidden="1" x14ac:dyDescent="0.2">
      <c r="D195" s="14">
        <v>191</v>
      </c>
      <c r="E195" s="12">
        <v>41465</v>
      </c>
      <c r="F195" s="15">
        <f t="shared" si="108"/>
        <v>3.7375000000000005E-2</v>
      </c>
      <c r="H195" s="14">
        <v>191</v>
      </c>
      <c r="I195" s="12">
        <v>41830</v>
      </c>
      <c r="J195" s="15">
        <f t="shared" si="109"/>
        <v>3.5208333333333328E-2</v>
      </c>
      <c r="K195" s="4"/>
      <c r="L195" s="14">
        <v>191</v>
      </c>
      <c r="M195" s="12">
        <v>42195</v>
      </c>
      <c r="N195" s="15">
        <f t="shared" si="111"/>
        <v>2.9791666666666675E-2</v>
      </c>
      <c r="O195" s="141"/>
      <c r="P195" s="14">
        <v>191</v>
      </c>
      <c r="Q195" s="12">
        <v>41830</v>
      </c>
      <c r="R195" s="15">
        <f t="shared" si="110"/>
        <v>2.7625000000000004E-2</v>
      </c>
      <c r="S195" s="4"/>
      <c r="T195" s="14">
        <v>191</v>
      </c>
      <c r="U195" s="12">
        <v>42195</v>
      </c>
      <c r="V195" s="15">
        <f t="shared" si="112"/>
        <v>2.7625000000000004E-2</v>
      </c>
      <c r="AA195" s="14">
        <v>191</v>
      </c>
      <c r="AB195" s="12">
        <v>41099</v>
      </c>
      <c r="AC195" s="15">
        <f t="shared" si="113"/>
        <v>3.9541666666666669E-2</v>
      </c>
      <c r="AI195" s="255">
        <v>191</v>
      </c>
      <c r="AJ195" s="253">
        <v>42195</v>
      </c>
      <c r="AK195" s="256">
        <f t="shared" si="117"/>
        <v>5.1916666666666673E-2</v>
      </c>
      <c r="AL195" s="253">
        <v>42561</v>
      </c>
      <c r="AM195" s="256">
        <f t="shared" si="114"/>
        <v>2.9750000000000002E-2</v>
      </c>
      <c r="AO195" s="253">
        <v>42195</v>
      </c>
      <c r="AP195" s="256">
        <f t="shared" si="115"/>
        <v>9.2166666666666647E-2</v>
      </c>
      <c r="AQ195" s="253">
        <v>42561</v>
      </c>
      <c r="AR195" s="256">
        <f t="shared" si="116"/>
        <v>2.7416666666666662E-2</v>
      </c>
    </row>
    <row r="196" spans="4:44" hidden="1" x14ac:dyDescent="0.2">
      <c r="D196" s="14">
        <v>192</v>
      </c>
      <c r="E196" s="12">
        <v>41466</v>
      </c>
      <c r="F196" s="15">
        <f t="shared" si="108"/>
        <v>3.7375000000000005E-2</v>
      </c>
      <c r="H196" s="14">
        <v>192</v>
      </c>
      <c r="I196" s="12">
        <v>41831</v>
      </c>
      <c r="J196" s="15">
        <f t="shared" si="109"/>
        <v>3.5208333333333328E-2</v>
      </c>
      <c r="K196" s="4"/>
      <c r="L196" s="14">
        <v>192</v>
      </c>
      <c r="M196" s="12">
        <v>42196</v>
      </c>
      <c r="N196" s="15">
        <f t="shared" si="111"/>
        <v>2.9791666666666675E-2</v>
      </c>
      <c r="O196" s="141"/>
      <c r="P196" s="14">
        <v>192</v>
      </c>
      <c r="Q196" s="12">
        <v>41831</v>
      </c>
      <c r="R196" s="15">
        <f t="shared" si="110"/>
        <v>2.7625000000000004E-2</v>
      </c>
      <c r="S196" s="4"/>
      <c r="T196" s="14">
        <v>192</v>
      </c>
      <c r="U196" s="12">
        <v>42196</v>
      </c>
      <c r="V196" s="15">
        <f t="shared" si="112"/>
        <v>2.7625000000000004E-2</v>
      </c>
      <c r="AA196" s="14">
        <v>192</v>
      </c>
      <c r="AB196" s="12">
        <v>41100</v>
      </c>
      <c r="AC196" s="15">
        <f t="shared" si="113"/>
        <v>3.9541666666666669E-2</v>
      </c>
      <c r="AI196" s="255">
        <v>192</v>
      </c>
      <c r="AJ196" s="253">
        <v>42196</v>
      </c>
      <c r="AK196" s="256">
        <f t="shared" si="117"/>
        <v>5.1916666666666673E-2</v>
      </c>
      <c r="AL196" s="253">
        <v>42562</v>
      </c>
      <c r="AM196" s="256">
        <f t="shared" si="114"/>
        <v>2.9750000000000002E-2</v>
      </c>
      <c r="AO196" s="253">
        <v>42196</v>
      </c>
      <c r="AP196" s="256">
        <f t="shared" si="115"/>
        <v>9.2166666666666647E-2</v>
      </c>
      <c r="AQ196" s="253">
        <v>42562</v>
      </c>
      <c r="AR196" s="256">
        <f t="shared" si="116"/>
        <v>2.7416666666666662E-2</v>
      </c>
    </row>
    <row r="197" spans="4:44" hidden="1" x14ac:dyDescent="0.2">
      <c r="D197" s="14">
        <v>193</v>
      </c>
      <c r="E197" s="12">
        <v>41467</v>
      </c>
      <c r="F197" s="15">
        <f t="shared" si="108"/>
        <v>3.7375000000000005E-2</v>
      </c>
      <c r="H197" s="14">
        <v>193</v>
      </c>
      <c r="I197" s="12">
        <v>41832</v>
      </c>
      <c r="J197" s="15">
        <f t="shared" si="109"/>
        <v>3.5208333333333328E-2</v>
      </c>
      <c r="K197" s="4"/>
      <c r="L197" s="14">
        <v>193</v>
      </c>
      <c r="M197" s="12">
        <v>42197</v>
      </c>
      <c r="N197" s="15">
        <f t="shared" si="111"/>
        <v>2.9791666666666675E-2</v>
      </c>
      <c r="O197" s="141"/>
      <c r="P197" s="14">
        <v>193</v>
      </c>
      <c r="Q197" s="12">
        <v>41832</v>
      </c>
      <c r="R197" s="15">
        <f t="shared" si="110"/>
        <v>2.7625000000000004E-2</v>
      </c>
      <c r="S197" s="4"/>
      <c r="T197" s="14">
        <v>193</v>
      </c>
      <c r="U197" s="12">
        <v>42197</v>
      </c>
      <c r="V197" s="15">
        <f t="shared" si="112"/>
        <v>2.7625000000000004E-2</v>
      </c>
      <c r="AA197" s="14">
        <v>193</v>
      </c>
      <c r="AB197" s="12">
        <v>41101</v>
      </c>
      <c r="AC197" s="15">
        <f t="shared" si="113"/>
        <v>3.9541666666666669E-2</v>
      </c>
      <c r="AI197" s="255">
        <v>193</v>
      </c>
      <c r="AJ197" s="253">
        <v>42197</v>
      </c>
      <c r="AK197" s="256">
        <f t="shared" si="117"/>
        <v>5.1916666666666673E-2</v>
      </c>
      <c r="AL197" s="253">
        <v>42563</v>
      </c>
      <c r="AM197" s="256">
        <f t="shared" si="114"/>
        <v>2.9750000000000002E-2</v>
      </c>
      <c r="AO197" s="253">
        <v>42197</v>
      </c>
      <c r="AP197" s="256">
        <f t="shared" si="115"/>
        <v>9.2166666666666647E-2</v>
      </c>
      <c r="AQ197" s="253">
        <v>42563</v>
      </c>
      <c r="AR197" s="256">
        <f t="shared" si="116"/>
        <v>2.7416666666666662E-2</v>
      </c>
    </row>
    <row r="198" spans="4:44" hidden="1" x14ac:dyDescent="0.2">
      <c r="D198" s="14">
        <v>194</v>
      </c>
      <c r="E198" s="12">
        <v>41468</v>
      </c>
      <c r="F198" s="15">
        <f t="shared" si="108"/>
        <v>3.7375000000000005E-2</v>
      </c>
      <c r="H198" s="14">
        <v>194</v>
      </c>
      <c r="I198" s="12">
        <v>41833</v>
      </c>
      <c r="J198" s="15">
        <f t="shared" si="109"/>
        <v>3.5208333333333328E-2</v>
      </c>
      <c r="K198" s="4"/>
      <c r="L198" s="14">
        <v>194</v>
      </c>
      <c r="M198" s="12">
        <v>42198</v>
      </c>
      <c r="N198" s="15">
        <f t="shared" si="111"/>
        <v>2.9791666666666675E-2</v>
      </c>
      <c r="O198" s="141"/>
      <c r="P198" s="14">
        <v>194</v>
      </c>
      <c r="Q198" s="12">
        <v>41833</v>
      </c>
      <c r="R198" s="15">
        <f t="shared" si="110"/>
        <v>2.7625000000000004E-2</v>
      </c>
      <c r="S198" s="4"/>
      <c r="T198" s="14">
        <v>194</v>
      </c>
      <c r="U198" s="12">
        <v>42198</v>
      </c>
      <c r="V198" s="15">
        <f t="shared" si="112"/>
        <v>2.7625000000000004E-2</v>
      </c>
      <c r="AA198" s="14">
        <v>194</v>
      </c>
      <c r="AB198" s="12">
        <v>41102</v>
      </c>
      <c r="AC198" s="15">
        <f t="shared" si="113"/>
        <v>3.9541666666666669E-2</v>
      </c>
      <c r="AI198" s="255">
        <v>194</v>
      </c>
      <c r="AJ198" s="253">
        <v>42198</v>
      </c>
      <c r="AK198" s="256">
        <f t="shared" si="117"/>
        <v>5.1916666666666673E-2</v>
      </c>
      <c r="AL198" s="253">
        <v>42564</v>
      </c>
      <c r="AM198" s="256">
        <f t="shared" si="114"/>
        <v>2.9750000000000002E-2</v>
      </c>
      <c r="AO198" s="253">
        <v>42198</v>
      </c>
      <c r="AP198" s="256">
        <f t="shared" si="115"/>
        <v>9.2166666666666647E-2</v>
      </c>
      <c r="AQ198" s="253">
        <v>42564</v>
      </c>
      <c r="AR198" s="256">
        <f t="shared" si="116"/>
        <v>2.7416666666666662E-2</v>
      </c>
    </row>
    <row r="199" spans="4:44" hidden="1" x14ac:dyDescent="0.2">
      <c r="D199" s="14">
        <v>195</v>
      </c>
      <c r="E199" s="12">
        <v>41469</v>
      </c>
      <c r="F199" s="15">
        <f t="shared" si="108"/>
        <v>3.7375000000000005E-2</v>
      </c>
      <c r="H199" s="14">
        <v>195</v>
      </c>
      <c r="I199" s="12">
        <v>41834</v>
      </c>
      <c r="J199" s="15">
        <f t="shared" si="109"/>
        <v>3.5208333333333328E-2</v>
      </c>
      <c r="K199" s="4"/>
      <c r="L199" s="14">
        <v>195</v>
      </c>
      <c r="M199" s="12">
        <v>42199</v>
      </c>
      <c r="N199" s="15">
        <f t="shared" si="111"/>
        <v>2.9791666666666675E-2</v>
      </c>
      <c r="O199" s="141"/>
      <c r="P199" s="14">
        <v>195</v>
      </c>
      <c r="Q199" s="12">
        <v>41834</v>
      </c>
      <c r="R199" s="15">
        <f t="shared" si="110"/>
        <v>2.7625000000000004E-2</v>
      </c>
      <c r="S199" s="4"/>
      <c r="T199" s="14">
        <v>195</v>
      </c>
      <c r="U199" s="12">
        <v>42199</v>
      </c>
      <c r="V199" s="15">
        <f t="shared" si="112"/>
        <v>2.7625000000000004E-2</v>
      </c>
      <c r="AA199" s="14">
        <v>195</v>
      </c>
      <c r="AB199" s="12">
        <v>41103</v>
      </c>
      <c r="AC199" s="15">
        <f t="shared" si="113"/>
        <v>3.9541666666666669E-2</v>
      </c>
      <c r="AI199" s="255">
        <v>195</v>
      </c>
      <c r="AJ199" s="253">
        <v>42199</v>
      </c>
      <c r="AK199" s="256">
        <f t="shared" si="117"/>
        <v>5.1916666666666673E-2</v>
      </c>
      <c r="AL199" s="253">
        <v>42565</v>
      </c>
      <c r="AM199" s="256">
        <f t="shared" si="114"/>
        <v>2.9750000000000002E-2</v>
      </c>
      <c r="AO199" s="253">
        <v>42199</v>
      </c>
      <c r="AP199" s="256">
        <f t="shared" si="115"/>
        <v>9.2166666666666647E-2</v>
      </c>
      <c r="AQ199" s="253">
        <v>42565</v>
      </c>
      <c r="AR199" s="256">
        <f t="shared" si="116"/>
        <v>2.7416666666666662E-2</v>
      </c>
    </row>
    <row r="200" spans="4:44" hidden="1" x14ac:dyDescent="0.2">
      <c r="D200" s="14">
        <v>196</v>
      </c>
      <c r="E200" s="12">
        <v>41470</v>
      </c>
      <c r="F200" s="15">
        <f t="shared" si="108"/>
        <v>3.7375000000000005E-2</v>
      </c>
      <c r="H200" s="14">
        <v>196</v>
      </c>
      <c r="I200" s="12">
        <v>41835</v>
      </c>
      <c r="J200" s="15">
        <f t="shared" si="109"/>
        <v>3.5208333333333328E-2</v>
      </c>
      <c r="K200" s="4"/>
      <c r="L200" s="14">
        <v>196</v>
      </c>
      <c r="M200" s="12">
        <v>42200</v>
      </c>
      <c r="N200" s="15">
        <f t="shared" si="111"/>
        <v>2.9791666666666675E-2</v>
      </c>
      <c r="O200" s="141"/>
      <c r="P200" s="14">
        <v>196</v>
      </c>
      <c r="Q200" s="12">
        <v>41835</v>
      </c>
      <c r="R200" s="15">
        <f t="shared" si="110"/>
        <v>2.7625000000000004E-2</v>
      </c>
      <c r="S200" s="4"/>
      <c r="T200" s="14">
        <v>196</v>
      </c>
      <c r="U200" s="12">
        <v>42200</v>
      </c>
      <c r="V200" s="15">
        <f t="shared" si="112"/>
        <v>2.7625000000000004E-2</v>
      </c>
      <c r="AA200" s="14">
        <v>196</v>
      </c>
      <c r="AB200" s="12">
        <v>41104</v>
      </c>
      <c r="AC200" s="15">
        <f t="shared" si="113"/>
        <v>3.9541666666666669E-2</v>
      </c>
      <c r="AI200" s="255">
        <v>196</v>
      </c>
      <c r="AJ200" s="253">
        <v>42200</v>
      </c>
      <c r="AK200" s="256">
        <f t="shared" si="117"/>
        <v>5.1916666666666673E-2</v>
      </c>
      <c r="AL200" s="253">
        <v>42566</v>
      </c>
      <c r="AM200" s="256">
        <f t="shared" si="114"/>
        <v>2.9750000000000002E-2</v>
      </c>
      <c r="AO200" s="253">
        <v>42200</v>
      </c>
      <c r="AP200" s="256">
        <f t="shared" si="115"/>
        <v>9.2166666666666647E-2</v>
      </c>
      <c r="AQ200" s="253">
        <v>42566</v>
      </c>
      <c r="AR200" s="256">
        <f t="shared" si="116"/>
        <v>2.7416666666666662E-2</v>
      </c>
    </row>
    <row r="201" spans="4:44" hidden="1" x14ac:dyDescent="0.2">
      <c r="D201" s="14">
        <v>197</v>
      </c>
      <c r="E201" s="12">
        <v>41471</v>
      </c>
      <c r="F201" s="15">
        <f t="shared" si="108"/>
        <v>3.7375000000000005E-2</v>
      </c>
      <c r="H201" s="14">
        <v>197</v>
      </c>
      <c r="I201" s="12">
        <v>41836</v>
      </c>
      <c r="J201" s="15">
        <f t="shared" si="109"/>
        <v>3.5208333333333328E-2</v>
      </c>
      <c r="K201" s="4"/>
      <c r="L201" s="14">
        <v>197</v>
      </c>
      <c r="M201" s="12">
        <v>42201</v>
      </c>
      <c r="N201" s="15">
        <f t="shared" si="111"/>
        <v>2.9791666666666675E-2</v>
      </c>
      <c r="O201" s="141"/>
      <c r="P201" s="14">
        <v>197</v>
      </c>
      <c r="Q201" s="12">
        <v>41836</v>
      </c>
      <c r="R201" s="15">
        <f t="shared" si="110"/>
        <v>2.7625000000000004E-2</v>
      </c>
      <c r="S201" s="4"/>
      <c r="T201" s="14">
        <v>197</v>
      </c>
      <c r="U201" s="12">
        <v>42201</v>
      </c>
      <c r="V201" s="15">
        <f t="shared" si="112"/>
        <v>2.7625000000000004E-2</v>
      </c>
      <c r="AA201" s="14">
        <v>197</v>
      </c>
      <c r="AB201" s="12">
        <v>41105</v>
      </c>
      <c r="AC201" s="15">
        <f t="shared" si="113"/>
        <v>3.9541666666666669E-2</v>
      </c>
      <c r="AI201" s="255">
        <v>197</v>
      </c>
      <c r="AJ201" s="253">
        <v>42201</v>
      </c>
      <c r="AK201" s="256">
        <f t="shared" si="117"/>
        <v>5.1916666666666673E-2</v>
      </c>
      <c r="AL201" s="253">
        <v>42567</v>
      </c>
      <c r="AM201" s="256">
        <f t="shared" si="114"/>
        <v>2.9750000000000002E-2</v>
      </c>
      <c r="AO201" s="253">
        <v>42201</v>
      </c>
      <c r="AP201" s="256">
        <f t="shared" si="115"/>
        <v>9.2166666666666647E-2</v>
      </c>
      <c r="AQ201" s="253">
        <v>42567</v>
      </c>
      <c r="AR201" s="256">
        <f t="shared" si="116"/>
        <v>2.7416666666666662E-2</v>
      </c>
    </row>
    <row r="202" spans="4:44" hidden="1" x14ac:dyDescent="0.2">
      <c r="D202" s="14">
        <v>198</v>
      </c>
      <c r="E202" s="12">
        <v>41472</v>
      </c>
      <c r="F202" s="15">
        <f t="shared" si="108"/>
        <v>3.7375000000000005E-2</v>
      </c>
      <c r="H202" s="14">
        <v>198</v>
      </c>
      <c r="I202" s="12">
        <v>41837</v>
      </c>
      <c r="J202" s="15">
        <f t="shared" si="109"/>
        <v>3.5208333333333328E-2</v>
      </c>
      <c r="K202" s="4"/>
      <c r="L202" s="14">
        <v>198</v>
      </c>
      <c r="M202" s="12">
        <v>42202</v>
      </c>
      <c r="N202" s="15">
        <f t="shared" si="111"/>
        <v>2.9791666666666675E-2</v>
      </c>
      <c r="O202" s="141"/>
      <c r="P202" s="14">
        <v>198</v>
      </c>
      <c r="Q202" s="12">
        <v>41837</v>
      </c>
      <c r="R202" s="15">
        <f t="shared" si="110"/>
        <v>2.7625000000000004E-2</v>
      </c>
      <c r="S202" s="4"/>
      <c r="T202" s="14">
        <v>198</v>
      </c>
      <c r="U202" s="12">
        <v>42202</v>
      </c>
      <c r="V202" s="15">
        <f t="shared" si="112"/>
        <v>2.7625000000000004E-2</v>
      </c>
      <c r="AA202" s="14">
        <v>198</v>
      </c>
      <c r="AB202" s="12">
        <v>41106</v>
      </c>
      <c r="AC202" s="15">
        <f t="shared" si="113"/>
        <v>3.9541666666666669E-2</v>
      </c>
      <c r="AI202" s="255">
        <v>198</v>
      </c>
      <c r="AJ202" s="253">
        <v>42202</v>
      </c>
      <c r="AK202" s="256">
        <f t="shared" si="117"/>
        <v>5.1916666666666673E-2</v>
      </c>
      <c r="AL202" s="253">
        <v>42568</v>
      </c>
      <c r="AM202" s="256">
        <f t="shared" si="114"/>
        <v>2.9750000000000002E-2</v>
      </c>
      <c r="AO202" s="253">
        <v>42202</v>
      </c>
      <c r="AP202" s="256">
        <f t="shared" si="115"/>
        <v>9.2166666666666647E-2</v>
      </c>
      <c r="AQ202" s="253">
        <v>42568</v>
      </c>
      <c r="AR202" s="256">
        <f t="shared" si="116"/>
        <v>2.7416666666666662E-2</v>
      </c>
    </row>
    <row r="203" spans="4:44" hidden="1" x14ac:dyDescent="0.2">
      <c r="D203" s="14">
        <v>199</v>
      </c>
      <c r="E203" s="12">
        <v>41473</v>
      </c>
      <c r="F203" s="15">
        <f t="shared" si="108"/>
        <v>3.7375000000000005E-2</v>
      </c>
      <c r="H203" s="14">
        <v>199</v>
      </c>
      <c r="I203" s="12">
        <v>41838</v>
      </c>
      <c r="J203" s="15">
        <f t="shared" si="109"/>
        <v>3.5208333333333328E-2</v>
      </c>
      <c r="K203" s="4"/>
      <c r="L203" s="14">
        <v>199</v>
      </c>
      <c r="M203" s="12">
        <v>42203</v>
      </c>
      <c r="N203" s="15">
        <f t="shared" si="111"/>
        <v>2.9791666666666675E-2</v>
      </c>
      <c r="O203" s="141"/>
      <c r="P203" s="14">
        <v>199</v>
      </c>
      <c r="Q203" s="12">
        <v>41838</v>
      </c>
      <c r="R203" s="15">
        <f t="shared" si="110"/>
        <v>2.7625000000000004E-2</v>
      </c>
      <c r="S203" s="4"/>
      <c r="T203" s="14">
        <v>199</v>
      </c>
      <c r="U203" s="12">
        <v>42203</v>
      </c>
      <c r="V203" s="15">
        <f t="shared" si="112"/>
        <v>2.7625000000000004E-2</v>
      </c>
      <c r="AA203" s="14">
        <v>199</v>
      </c>
      <c r="AB203" s="12">
        <v>41107</v>
      </c>
      <c r="AC203" s="15">
        <f t="shared" si="113"/>
        <v>3.9541666666666669E-2</v>
      </c>
      <c r="AI203" s="255">
        <v>199</v>
      </c>
      <c r="AJ203" s="253">
        <v>42203</v>
      </c>
      <c r="AK203" s="256">
        <f t="shared" si="117"/>
        <v>5.1916666666666673E-2</v>
      </c>
      <c r="AL203" s="253">
        <v>42569</v>
      </c>
      <c r="AM203" s="256">
        <f t="shared" si="114"/>
        <v>2.9750000000000002E-2</v>
      </c>
      <c r="AO203" s="253">
        <v>42203</v>
      </c>
      <c r="AP203" s="256">
        <f t="shared" si="115"/>
        <v>9.2166666666666647E-2</v>
      </c>
      <c r="AQ203" s="253">
        <v>42569</v>
      </c>
      <c r="AR203" s="256">
        <f t="shared" si="116"/>
        <v>2.7416666666666662E-2</v>
      </c>
    </row>
    <row r="204" spans="4:44" hidden="1" x14ac:dyDescent="0.2">
      <c r="D204" s="14">
        <v>200</v>
      </c>
      <c r="E204" s="12">
        <v>41474</v>
      </c>
      <c r="F204" s="15">
        <f t="shared" si="108"/>
        <v>3.7375000000000005E-2</v>
      </c>
      <c r="H204" s="14">
        <v>200</v>
      </c>
      <c r="I204" s="12">
        <v>41839</v>
      </c>
      <c r="J204" s="15">
        <f t="shared" si="109"/>
        <v>3.5208333333333328E-2</v>
      </c>
      <c r="K204" s="4"/>
      <c r="L204" s="14">
        <v>200</v>
      </c>
      <c r="M204" s="12">
        <v>42204</v>
      </c>
      <c r="N204" s="15">
        <f t="shared" si="111"/>
        <v>2.9791666666666675E-2</v>
      </c>
      <c r="O204" s="141"/>
      <c r="P204" s="14">
        <v>200</v>
      </c>
      <c r="Q204" s="12">
        <v>41839</v>
      </c>
      <c r="R204" s="15">
        <f t="shared" si="110"/>
        <v>2.7625000000000004E-2</v>
      </c>
      <c r="S204" s="4"/>
      <c r="T204" s="14">
        <v>200</v>
      </c>
      <c r="U204" s="12">
        <v>42204</v>
      </c>
      <c r="V204" s="15">
        <f t="shared" si="112"/>
        <v>2.7625000000000004E-2</v>
      </c>
      <c r="AA204" s="14">
        <v>200</v>
      </c>
      <c r="AB204" s="12">
        <v>41108</v>
      </c>
      <c r="AC204" s="15">
        <f t="shared" si="113"/>
        <v>3.9541666666666669E-2</v>
      </c>
      <c r="AI204" s="255">
        <v>200</v>
      </c>
      <c r="AJ204" s="253">
        <v>42204</v>
      </c>
      <c r="AK204" s="256">
        <f t="shared" si="117"/>
        <v>5.1916666666666673E-2</v>
      </c>
      <c r="AL204" s="253">
        <v>42570</v>
      </c>
      <c r="AM204" s="256">
        <f t="shared" si="114"/>
        <v>2.9750000000000002E-2</v>
      </c>
      <c r="AO204" s="253">
        <v>42204</v>
      </c>
      <c r="AP204" s="256">
        <f t="shared" si="115"/>
        <v>9.2166666666666647E-2</v>
      </c>
      <c r="AQ204" s="253">
        <v>42570</v>
      </c>
      <c r="AR204" s="256">
        <f t="shared" si="116"/>
        <v>2.7416666666666662E-2</v>
      </c>
    </row>
    <row r="205" spans="4:44" hidden="1" x14ac:dyDescent="0.2">
      <c r="D205" s="14">
        <v>201</v>
      </c>
      <c r="E205" s="12">
        <v>41475</v>
      </c>
      <c r="F205" s="15">
        <f t="shared" si="108"/>
        <v>3.7375000000000005E-2</v>
      </c>
      <c r="H205" s="14">
        <v>201</v>
      </c>
      <c r="I205" s="12">
        <v>41840</v>
      </c>
      <c r="J205" s="15">
        <f t="shared" si="109"/>
        <v>3.5208333333333328E-2</v>
      </c>
      <c r="K205" s="4"/>
      <c r="L205" s="14">
        <v>201</v>
      </c>
      <c r="M205" s="12">
        <v>42205</v>
      </c>
      <c r="N205" s="15">
        <f t="shared" si="111"/>
        <v>2.9791666666666675E-2</v>
      </c>
      <c r="O205" s="141"/>
      <c r="P205" s="14">
        <v>201</v>
      </c>
      <c r="Q205" s="12">
        <v>41840</v>
      </c>
      <c r="R205" s="15">
        <f t="shared" si="110"/>
        <v>2.7625000000000004E-2</v>
      </c>
      <c r="S205" s="4"/>
      <c r="T205" s="14">
        <v>201</v>
      </c>
      <c r="U205" s="12">
        <v>42205</v>
      </c>
      <c r="V205" s="15">
        <f t="shared" si="112"/>
        <v>2.7625000000000004E-2</v>
      </c>
      <c r="AA205" s="14">
        <v>201</v>
      </c>
      <c r="AB205" s="12">
        <v>41109</v>
      </c>
      <c r="AC205" s="15">
        <f t="shared" si="113"/>
        <v>3.9541666666666669E-2</v>
      </c>
      <c r="AI205" s="255">
        <v>201</v>
      </c>
      <c r="AJ205" s="253">
        <v>42205</v>
      </c>
      <c r="AK205" s="256">
        <f t="shared" si="117"/>
        <v>5.1916666666666673E-2</v>
      </c>
      <c r="AL205" s="253">
        <v>42571</v>
      </c>
      <c r="AM205" s="256">
        <f t="shared" si="114"/>
        <v>2.9750000000000002E-2</v>
      </c>
      <c r="AO205" s="253">
        <v>42205</v>
      </c>
      <c r="AP205" s="256">
        <f t="shared" si="115"/>
        <v>9.2166666666666647E-2</v>
      </c>
      <c r="AQ205" s="253">
        <v>42571</v>
      </c>
      <c r="AR205" s="256">
        <f t="shared" si="116"/>
        <v>2.7416666666666662E-2</v>
      </c>
    </row>
    <row r="206" spans="4:44" hidden="1" x14ac:dyDescent="0.2">
      <c r="D206" s="14">
        <v>202</v>
      </c>
      <c r="E206" s="12">
        <v>41476</v>
      </c>
      <c r="F206" s="50">
        <f t="shared" ref="F206:F216" si="118">F$176+F$4/D$4/100</f>
        <v>4.0250000000000001E-2</v>
      </c>
      <c r="H206" s="14">
        <v>202</v>
      </c>
      <c r="I206" s="12">
        <v>41841</v>
      </c>
      <c r="J206" s="50">
        <f t="shared" ref="J206:J216" si="119">J$176+J$4/H$4/100</f>
        <v>3.7916666666666661E-2</v>
      </c>
      <c r="K206" s="4"/>
      <c r="L206" s="14">
        <v>202</v>
      </c>
      <c r="M206" s="12">
        <v>42206</v>
      </c>
      <c r="N206" s="50">
        <f>N$176+N$4/L$4/100</f>
        <v>3.2083333333333339E-2</v>
      </c>
      <c r="O206" s="141"/>
      <c r="P206" s="14">
        <v>202</v>
      </c>
      <c r="Q206" s="12">
        <v>41841</v>
      </c>
      <c r="R206" s="50">
        <f t="shared" ref="R206:R216" si="120">R$176+R$4/P$4/100</f>
        <v>2.9750000000000002E-2</v>
      </c>
      <c r="S206" s="4"/>
      <c r="T206" s="14">
        <v>202</v>
      </c>
      <c r="U206" s="12">
        <v>42206</v>
      </c>
      <c r="V206" s="50">
        <f>V$176+V$4/T$4/100</f>
        <v>2.9750000000000002E-2</v>
      </c>
      <c r="AA206" s="51">
        <v>202</v>
      </c>
      <c r="AB206" s="12">
        <v>41110</v>
      </c>
      <c r="AC206" s="15">
        <f>AC$157+AC$4/AA$4/100</f>
        <v>3.9541666666666669E-2</v>
      </c>
      <c r="AI206" s="255">
        <v>202</v>
      </c>
      <c r="AJ206" s="253">
        <v>42206</v>
      </c>
      <c r="AK206" s="256">
        <f t="shared" si="117"/>
        <v>5.1916666666666673E-2</v>
      </c>
      <c r="AL206" s="253">
        <v>42572</v>
      </c>
      <c r="AM206" s="256">
        <f t="shared" si="114"/>
        <v>2.9750000000000002E-2</v>
      </c>
      <c r="AO206" s="253">
        <v>42206</v>
      </c>
      <c r="AP206" s="256">
        <f t="shared" si="115"/>
        <v>9.2166666666666647E-2</v>
      </c>
      <c r="AQ206" s="253">
        <v>42572</v>
      </c>
      <c r="AR206" s="256">
        <f t="shared" si="116"/>
        <v>2.7416666666666662E-2</v>
      </c>
    </row>
    <row r="207" spans="4:44" hidden="1" x14ac:dyDescent="0.2">
      <c r="D207" s="14">
        <v>203</v>
      </c>
      <c r="E207" s="12">
        <v>41477</v>
      </c>
      <c r="F207" s="15">
        <f t="shared" si="118"/>
        <v>4.0250000000000001E-2</v>
      </c>
      <c r="H207" s="14">
        <v>203</v>
      </c>
      <c r="I207" s="12">
        <v>41842</v>
      </c>
      <c r="J207" s="15">
        <f t="shared" si="119"/>
        <v>3.7916666666666661E-2</v>
      </c>
      <c r="K207" s="4"/>
      <c r="L207" s="14">
        <v>203</v>
      </c>
      <c r="M207" s="12">
        <v>42207</v>
      </c>
      <c r="N207" s="15">
        <f t="shared" ref="N207:N216" si="121">N$176+N$4/L$4/100</f>
        <v>3.2083333333333339E-2</v>
      </c>
      <c r="O207" s="141"/>
      <c r="P207" s="14">
        <v>203</v>
      </c>
      <c r="Q207" s="12">
        <v>41842</v>
      </c>
      <c r="R207" s="15">
        <f t="shared" si="120"/>
        <v>2.9750000000000002E-2</v>
      </c>
      <c r="S207" s="4"/>
      <c r="T207" s="14">
        <v>203</v>
      </c>
      <c r="U207" s="12">
        <v>42207</v>
      </c>
      <c r="V207" s="15">
        <f t="shared" ref="V207:V216" si="122">V$176+V$4/T$4/100</f>
        <v>2.9750000000000002E-2</v>
      </c>
      <c r="AA207" s="51">
        <v>203</v>
      </c>
      <c r="AB207" s="49">
        <v>41111</v>
      </c>
      <c r="AC207" s="50">
        <f>AC$177+AC$4/AA$4/100</f>
        <v>4.2583333333333334E-2</v>
      </c>
      <c r="AI207" s="255">
        <v>203</v>
      </c>
      <c r="AJ207" s="253">
        <v>42207</v>
      </c>
      <c r="AK207" s="256">
        <f t="shared" si="117"/>
        <v>5.1916666666666673E-2</v>
      </c>
      <c r="AL207" s="253">
        <v>42573</v>
      </c>
      <c r="AM207" s="256">
        <f t="shared" si="114"/>
        <v>2.9750000000000002E-2</v>
      </c>
      <c r="AO207" s="253">
        <v>42207</v>
      </c>
      <c r="AP207" s="256">
        <f t="shared" si="115"/>
        <v>9.2166666666666647E-2</v>
      </c>
      <c r="AQ207" s="253">
        <v>42573</v>
      </c>
      <c r="AR207" s="256">
        <f t="shared" si="116"/>
        <v>2.7416666666666662E-2</v>
      </c>
    </row>
    <row r="208" spans="4:44" hidden="1" x14ac:dyDescent="0.2">
      <c r="D208" s="14">
        <v>204</v>
      </c>
      <c r="E208" s="12">
        <v>41478</v>
      </c>
      <c r="F208" s="15">
        <f t="shared" si="118"/>
        <v>4.0250000000000001E-2</v>
      </c>
      <c r="H208" s="14">
        <v>204</v>
      </c>
      <c r="I208" s="12">
        <v>41843</v>
      </c>
      <c r="J208" s="15">
        <f t="shared" si="119"/>
        <v>3.7916666666666661E-2</v>
      </c>
      <c r="K208" s="4"/>
      <c r="L208" s="14">
        <v>204</v>
      </c>
      <c r="M208" s="12">
        <v>42208</v>
      </c>
      <c r="N208" s="15">
        <f t="shared" si="121"/>
        <v>3.2083333333333339E-2</v>
      </c>
      <c r="O208" s="141"/>
      <c r="P208" s="14">
        <v>204</v>
      </c>
      <c r="Q208" s="12">
        <v>41843</v>
      </c>
      <c r="R208" s="15">
        <f t="shared" si="120"/>
        <v>2.9750000000000002E-2</v>
      </c>
      <c r="S208" s="4"/>
      <c r="T208" s="14">
        <v>204</v>
      </c>
      <c r="U208" s="12">
        <v>42208</v>
      </c>
      <c r="V208" s="15">
        <f t="shared" si="122"/>
        <v>2.9750000000000002E-2</v>
      </c>
      <c r="AA208" s="14">
        <v>204</v>
      </c>
      <c r="AB208" s="12">
        <v>41112</v>
      </c>
      <c r="AC208" s="15">
        <f t="shared" ref="AC208:AC217" si="123">AC$177+AC$4/AA$4/100</f>
        <v>4.2583333333333334E-2</v>
      </c>
      <c r="AI208" s="255">
        <v>204</v>
      </c>
      <c r="AJ208" s="253">
        <v>42208</v>
      </c>
      <c r="AK208" s="256">
        <f t="shared" si="117"/>
        <v>5.1916666666666673E-2</v>
      </c>
      <c r="AL208" s="253">
        <v>42574</v>
      </c>
      <c r="AM208" s="256">
        <f t="shared" si="114"/>
        <v>2.9750000000000002E-2</v>
      </c>
      <c r="AO208" s="253">
        <v>42208</v>
      </c>
      <c r="AP208" s="256">
        <f t="shared" si="115"/>
        <v>9.2166666666666647E-2</v>
      </c>
      <c r="AQ208" s="253">
        <v>42574</v>
      </c>
      <c r="AR208" s="256">
        <f t="shared" si="116"/>
        <v>2.7416666666666662E-2</v>
      </c>
    </row>
    <row r="209" spans="4:44" hidden="1" x14ac:dyDescent="0.2">
      <c r="D209" s="14">
        <v>205</v>
      </c>
      <c r="E209" s="12">
        <v>41479</v>
      </c>
      <c r="F209" s="15">
        <f t="shared" si="118"/>
        <v>4.0250000000000001E-2</v>
      </c>
      <c r="H209" s="14">
        <v>205</v>
      </c>
      <c r="I209" s="12">
        <v>41844</v>
      </c>
      <c r="J209" s="15">
        <f t="shared" si="119"/>
        <v>3.7916666666666661E-2</v>
      </c>
      <c r="K209" s="4"/>
      <c r="L209" s="14">
        <v>205</v>
      </c>
      <c r="M209" s="12">
        <v>42209</v>
      </c>
      <c r="N209" s="15">
        <f t="shared" si="121"/>
        <v>3.2083333333333339E-2</v>
      </c>
      <c r="O209" s="141"/>
      <c r="P209" s="14">
        <v>205</v>
      </c>
      <c r="Q209" s="12">
        <v>41844</v>
      </c>
      <c r="R209" s="15">
        <f t="shared" si="120"/>
        <v>2.9750000000000002E-2</v>
      </c>
      <c r="S209" s="4"/>
      <c r="T209" s="14">
        <v>205</v>
      </c>
      <c r="U209" s="12">
        <v>42209</v>
      </c>
      <c r="V209" s="15">
        <f t="shared" si="122"/>
        <v>2.9750000000000002E-2</v>
      </c>
      <c r="AA209" s="14">
        <v>205</v>
      </c>
      <c r="AB209" s="12">
        <v>41113</v>
      </c>
      <c r="AC209" s="15">
        <f t="shared" si="123"/>
        <v>4.2583333333333334E-2</v>
      </c>
      <c r="AI209" s="255">
        <v>205</v>
      </c>
      <c r="AJ209" s="253">
        <v>42209</v>
      </c>
      <c r="AK209" s="256">
        <f t="shared" si="117"/>
        <v>5.1916666666666673E-2</v>
      </c>
      <c r="AL209" s="253">
        <v>42575</v>
      </c>
      <c r="AM209" s="256">
        <f t="shared" si="114"/>
        <v>2.9750000000000002E-2</v>
      </c>
      <c r="AO209" s="253">
        <v>42209</v>
      </c>
      <c r="AP209" s="256">
        <f t="shared" si="115"/>
        <v>9.2166666666666647E-2</v>
      </c>
      <c r="AQ209" s="253">
        <v>42575</v>
      </c>
      <c r="AR209" s="256">
        <f t="shared" si="116"/>
        <v>2.7416666666666662E-2</v>
      </c>
    </row>
    <row r="210" spans="4:44" hidden="1" x14ac:dyDescent="0.2">
      <c r="D210" s="14">
        <v>206</v>
      </c>
      <c r="E210" s="12">
        <v>41480</v>
      </c>
      <c r="F210" s="15">
        <f t="shared" si="118"/>
        <v>4.0250000000000001E-2</v>
      </c>
      <c r="H210" s="14">
        <v>206</v>
      </c>
      <c r="I210" s="12">
        <v>41845</v>
      </c>
      <c r="J210" s="15">
        <f t="shared" si="119"/>
        <v>3.7916666666666661E-2</v>
      </c>
      <c r="K210" s="4"/>
      <c r="L210" s="14">
        <v>206</v>
      </c>
      <c r="M210" s="12">
        <v>42210</v>
      </c>
      <c r="N210" s="15">
        <f t="shared" si="121"/>
        <v>3.2083333333333339E-2</v>
      </c>
      <c r="O210" s="141"/>
      <c r="P210" s="14">
        <v>206</v>
      </c>
      <c r="Q210" s="12">
        <v>41845</v>
      </c>
      <c r="R210" s="15">
        <f t="shared" si="120"/>
        <v>2.9750000000000002E-2</v>
      </c>
      <c r="S210" s="4"/>
      <c r="T210" s="14">
        <v>206</v>
      </c>
      <c r="U210" s="12">
        <v>42210</v>
      </c>
      <c r="V210" s="15">
        <f t="shared" si="122"/>
        <v>2.9750000000000002E-2</v>
      </c>
      <c r="AA210" s="14">
        <v>206</v>
      </c>
      <c r="AB210" s="12">
        <v>41114</v>
      </c>
      <c r="AC210" s="15">
        <f t="shared" si="123"/>
        <v>4.2583333333333334E-2</v>
      </c>
      <c r="AI210" s="255">
        <v>206</v>
      </c>
      <c r="AJ210" s="253">
        <v>42210</v>
      </c>
      <c r="AK210" s="256">
        <f t="shared" si="117"/>
        <v>5.1916666666666673E-2</v>
      </c>
      <c r="AL210" s="253">
        <v>42576</v>
      </c>
      <c r="AM210" s="256">
        <f t="shared" si="114"/>
        <v>2.9750000000000002E-2</v>
      </c>
      <c r="AO210" s="253">
        <v>42210</v>
      </c>
      <c r="AP210" s="256">
        <f t="shared" si="115"/>
        <v>9.2166666666666647E-2</v>
      </c>
      <c r="AQ210" s="253">
        <v>42576</v>
      </c>
      <c r="AR210" s="256">
        <f t="shared" si="116"/>
        <v>2.7416666666666662E-2</v>
      </c>
    </row>
    <row r="211" spans="4:44" hidden="1" x14ac:dyDescent="0.2">
      <c r="D211" s="14">
        <v>207</v>
      </c>
      <c r="E211" s="12">
        <v>41481</v>
      </c>
      <c r="F211" s="15">
        <f t="shared" si="118"/>
        <v>4.0250000000000001E-2</v>
      </c>
      <c r="H211" s="14">
        <v>207</v>
      </c>
      <c r="I211" s="12">
        <v>41846</v>
      </c>
      <c r="J211" s="15">
        <f t="shared" si="119"/>
        <v>3.7916666666666661E-2</v>
      </c>
      <c r="K211" s="4"/>
      <c r="L211" s="14">
        <v>207</v>
      </c>
      <c r="M211" s="12">
        <v>42211</v>
      </c>
      <c r="N211" s="15">
        <f t="shared" si="121"/>
        <v>3.2083333333333339E-2</v>
      </c>
      <c r="O211" s="141"/>
      <c r="P211" s="14">
        <v>207</v>
      </c>
      <c r="Q211" s="12">
        <v>41846</v>
      </c>
      <c r="R211" s="15">
        <f t="shared" si="120"/>
        <v>2.9750000000000002E-2</v>
      </c>
      <c r="S211" s="4"/>
      <c r="T211" s="14">
        <v>207</v>
      </c>
      <c r="U211" s="12">
        <v>42211</v>
      </c>
      <c r="V211" s="15">
        <f t="shared" si="122"/>
        <v>2.9750000000000002E-2</v>
      </c>
      <c r="AA211" s="14">
        <v>207</v>
      </c>
      <c r="AB211" s="12">
        <v>41115</v>
      </c>
      <c r="AC211" s="15">
        <f t="shared" si="123"/>
        <v>4.2583333333333334E-2</v>
      </c>
      <c r="AI211" s="255">
        <v>207</v>
      </c>
      <c r="AJ211" s="253">
        <v>42211</v>
      </c>
      <c r="AK211" s="256">
        <f t="shared" si="117"/>
        <v>5.1916666666666673E-2</v>
      </c>
      <c r="AL211" s="253">
        <v>42577</v>
      </c>
      <c r="AM211" s="256">
        <f t="shared" si="114"/>
        <v>2.9750000000000002E-2</v>
      </c>
      <c r="AO211" s="253">
        <v>42211</v>
      </c>
      <c r="AP211" s="256">
        <f t="shared" si="115"/>
        <v>9.2166666666666647E-2</v>
      </c>
      <c r="AQ211" s="253">
        <v>42577</v>
      </c>
      <c r="AR211" s="256">
        <f t="shared" si="116"/>
        <v>2.7416666666666662E-2</v>
      </c>
    </row>
    <row r="212" spans="4:44" hidden="1" x14ac:dyDescent="0.2">
      <c r="D212" s="14">
        <v>208</v>
      </c>
      <c r="E212" s="12">
        <v>41482</v>
      </c>
      <c r="F212" s="15">
        <f t="shared" si="118"/>
        <v>4.0250000000000001E-2</v>
      </c>
      <c r="H212" s="14">
        <v>208</v>
      </c>
      <c r="I212" s="12">
        <v>41847</v>
      </c>
      <c r="J212" s="15">
        <f t="shared" si="119"/>
        <v>3.7916666666666661E-2</v>
      </c>
      <c r="K212" s="4"/>
      <c r="L212" s="14">
        <v>208</v>
      </c>
      <c r="M212" s="12">
        <v>42212</v>
      </c>
      <c r="N212" s="15">
        <f t="shared" si="121"/>
        <v>3.2083333333333339E-2</v>
      </c>
      <c r="O212" s="141"/>
      <c r="P212" s="14">
        <v>208</v>
      </c>
      <c r="Q212" s="12">
        <v>41847</v>
      </c>
      <c r="R212" s="15">
        <f t="shared" si="120"/>
        <v>2.9750000000000002E-2</v>
      </c>
      <c r="S212" s="4"/>
      <c r="T212" s="14">
        <v>208</v>
      </c>
      <c r="U212" s="12">
        <v>42212</v>
      </c>
      <c r="V212" s="15">
        <f t="shared" si="122"/>
        <v>2.9750000000000002E-2</v>
      </c>
      <c r="AA212" s="14">
        <v>208</v>
      </c>
      <c r="AB212" s="12">
        <v>41116</v>
      </c>
      <c r="AC212" s="15">
        <f t="shared" si="123"/>
        <v>4.2583333333333334E-2</v>
      </c>
      <c r="AI212" s="255">
        <v>208</v>
      </c>
      <c r="AJ212" s="253">
        <v>42212</v>
      </c>
      <c r="AK212" s="256">
        <f t="shared" si="117"/>
        <v>5.1916666666666673E-2</v>
      </c>
      <c r="AL212" s="253">
        <v>42578</v>
      </c>
      <c r="AM212" s="256">
        <f t="shared" si="114"/>
        <v>2.9750000000000002E-2</v>
      </c>
      <c r="AO212" s="253">
        <v>42212</v>
      </c>
      <c r="AP212" s="256">
        <f t="shared" si="115"/>
        <v>9.2166666666666647E-2</v>
      </c>
      <c r="AQ212" s="253">
        <v>42578</v>
      </c>
      <c r="AR212" s="256">
        <f t="shared" si="116"/>
        <v>2.7416666666666662E-2</v>
      </c>
    </row>
    <row r="213" spans="4:44" hidden="1" x14ac:dyDescent="0.2">
      <c r="D213" s="14">
        <v>209</v>
      </c>
      <c r="E213" s="12">
        <v>41483</v>
      </c>
      <c r="F213" s="15">
        <f t="shared" si="118"/>
        <v>4.0250000000000001E-2</v>
      </c>
      <c r="H213" s="14">
        <v>209</v>
      </c>
      <c r="I213" s="12">
        <v>41848</v>
      </c>
      <c r="J213" s="15">
        <f t="shared" si="119"/>
        <v>3.7916666666666661E-2</v>
      </c>
      <c r="K213" s="4"/>
      <c r="L213" s="14">
        <v>209</v>
      </c>
      <c r="M213" s="12">
        <v>42213</v>
      </c>
      <c r="N213" s="15">
        <f t="shared" si="121"/>
        <v>3.2083333333333339E-2</v>
      </c>
      <c r="O213" s="141"/>
      <c r="P213" s="14">
        <v>209</v>
      </c>
      <c r="Q213" s="12">
        <v>41848</v>
      </c>
      <c r="R213" s="15">
        <f t="shared" si="120"/>
        <v>2.9750000000000002E-2</v>
      </c>
      <c r="S213" s="4"/>
      <c r="T213" s="14">
        <v>209</v>
      </c>
      <c r="U213" s="12">
        <v>42213</v>
      </c>
      <c r="V213" s="15">
        <f t="shared" si="122"/>
        <v>2.9750000000000002E-2</v>
      </c>
      <c r="AA213" s="14">
        <v>209</v>
      </c>
      <c r="AB213" s="12">
        <v>41117</v>
      </c>
      <c r="AC213" s="15">
        <f t="shared" si="123"/>
        <v>4.2583333333333334E-2</v>
      </c>
      <c r="AI213" s="255">
        <v>209</v>
      </c>
      <c r="AJ213" s="253">
        <v>42213</v>
      </c>
      <c r="AK213" s="256">
        <f t="shared" si="117"/>
        <v>5.1916666666666673E-2</v>
      </c>
      <c r="AL213" s="253">
        <v>42579</v>
      </c>
      <c r="AM213" s="256">
        <f t="shared" si="114"/>
        <v>2.9750000000000002E-2</v>
      </c>
      <c r="AO213" s="253">
        <v>42213</v>
      </c>
      <c r="AP213" s="256">
        <f t="shared" si="115"/>
        <v>9.2166666666666647E-2</v>
      </c>
      <c r="AQ213" s="253">
        <v>42579</v>
      </c>
      <c r="AR213" s="256">
        <f t="shared" si="116"/>
        <v>2.7416666666666662E-2</v>
      </c>
    </row>
    <row r="214" spans="4:44" hidden="1" x14ac:dyDescent="0.2">
      <c r="D214" s="14">
        <v>210</v>
      </c>
      <c r="E214" s="12">
        <v>41484</v>
      </c>
      <c r="F214" s="15">
        <f t="shared" si="118"/>
        <v>4.0250000000000001E-2</v>
      </c>
      <c r="H214" s="14">
        <v>210</v>
      </c>
      <c r="I214" s="12">
        <v>41849</v>
      </c>
      <c r="J214" s="15">
        <f t="shared" si="119"/>
        <v>3.7916666666666661E-2</v>
      </c>
      <c r="K214" s="4"/>
      <c r="L214" s="14">
        <v>210</v>
      </c>
      <c r="M214" s="12">
        <v>42214</v>
      </c>
      <c r="N214" s="15">
        <f t="shared" si="121"/>
        <v>3.2083333333333339E-2</v>
      </c>
      <c r="O214" s="141"/>
      <c r="P214" s="14">
        <v>210</v>
      </c>
      <c r="Q214" s="12">
        <v>41849</v>
      </c>
      <c r="R214" s="15">
        <f t="shared" si="120"/>
        <v>2.9750000000000002E-2</v>
      </c>
      <c r="S214" s="4"/>
      <c r="T214" s="14">
        <v>210</v>
      </c>
      <c r="U214" s="12">
        <v>42214</v>
      </c>
      <c r="V214" s="15">
        <f t="shared" si="122"/>
        <v>2.9750000000000002E-2</v>
      </c>
      <c r="AA214" s="14">
        <v>210</v>
      </c>
      <c r="AB214" s="12">
        <v>41118</v>
      </c>
      <c r="AC214" s="15">
        <f t="shared" si="123"/>
        <v>4.2583333333333334E-2</v>
      </c>
      <c r="AI214" s="255">
        <v>210</v>
      </c>
      <c r="AJ214" s="253">
        <v>42214</v>
      </c>
      <c r="AK214" s="256">
        <f t="shared" si="117"/>
        <v>5.1916666666666673E-2</v>
      </c>
      <c r="AL214" s="253">
        <v>42580</v>
      </c>
      <c r="AM214" s="256">
        <f t="shared" si="114"/>
        <v>2.9750000000000002E-2</v>
      </c>
      <c r="AO214" s="253">
        <v>42214</v>
      </c>
      <c r="AP214" s="256">
        <f t="shared" si="115"/>
        <v>9.2166666666666647E-2</v>
      </c>
      <c r="AQ214" s="253">
        <v>42580</v>
      </c>
      <c r="AR214" s="256">
        <f t="shared" si="116"/>
        <v>2.7416666666666662E-2</v>
      </c>
    </row>
    <row r="215" spans="4:44" hidden="1" x14ac:dyDescent="0.2">
      <c r="D215" s="14">
        <v>211</v>
      </c>
      <c r="E215" s="12">
        <v>41485</v>
      </c>
      <c r="F215" s="15">
        <f t="shared" si="118"/>
        <v>4.0250000000000001E-2</v>
      </c>
      <c r="H215" s="14">
        <v>211</v>
      </c>
      <c r="I215" s="12">
        <v>41850</v>
      </c>
      <c r="J215" s="15">
        <f t="shared" si="119"/>
        <v>3.7916666666666661E-2</v>
      </c>
      <c r="K215" s="4"/>
      <c r="L215" s="14">
        <v>211</v>
      </c>
      <c r="M215" s="12">
        <v>42215</v>
      </c>
      <c r="N215" s="15">
        <f t="shared" si="121"/>
        <v>3.2083333333333339E-2</v>
      </c>
      <c r="O215" s="141"/>
      <c r="P215" s="14">
        <v>211</v>
      </c>
      <c r="Q215" s="12">
        <v>41850</v>
      </c>
      <c r="R215" s="15">
        <f t="shared" si="120"/>
        <v>2.9750000000000002E-2</v>
      </c>
      <c r="S215" s="4"/>
      <c r="T215" s="14">
        <v>211</v>
      </c>
      <c r="U215" s="12">
        <v>42215</v>
      </c>
      <c r="V215" s="15">
        <f t="shared" si="122"/>
        <v>2.9750000000000002E-2</v>
      </c>
      <c r="AA215" s="14">
        <v>211</v>
      </c>
      <c r="AB215" s="12">
        <v>41119</v>
      </c>
      <c r="AC215" s="15">
        <f t="shared" si="123"/>
        <v>4.2583333333333334E-2</v>
      </c>
      <c r="AI215" s="255">
        <v>211</v>
      </c>
      <c r="AJ215" s="253">
        <v>42215</v>
      </c>
      <c r="AK215" s="256">
        <f t="shared" si="117"/>
        <v>5.1916666666666673E-2</v>
      </c>
      <c r="AL215" s="253">
        <v>42581</v>
      </c>
      <c r="AM215" s="256">
        <f t="shared" si="114"/>
        <v>2.9750000000000002E-2</v>
      </c>
      <c r="AO215" s="253">
        <v>42215</v>
      </c>
      <c r="AP215" s="256">
        <f t="shared" si="115"/>
        <v>9.2166666666666647E-2</v>
      </c>
      <c r="AQ215" s="253">
        <v>42581</v>
      </c>
      <c r="AR215" s="256">
        <f t="shared" si="116"/>
        <v>2.7416666666666662E-2</v>
      </c>
    </row>
    <row r="216" spans="4:44" hidden="1" x14ac:dyDescent="0.2">
      <c r="D216" s="14">
        <v>212</v>
      </c>
      <c r="E216" s="12">
        <v>41486</v>
      </c>
      <c r="F216" s="15">
        <f t="shared" si="118"/>
        <v>4.0250000000000001E-2</v>
      </c>
      <c r="H216" s="14">
        <v>212</v>
      </c>
      <c r="I216" s="12">
        <v>41851</v>
      </c>
      <c r="J216" s="15">
        <f t="shared" si="119"/>
        <v>3.7916666666666661E-2</v>
      </c>
      <c r="K216" s="4"/>
      <c r="L216" s="14">
        <v>212</v>
      </c>
      <c r="M216" s="12">
        <v>42216</v>
      </c>
      <c r="N216" s="15">
        <f t="shared" si="121"/>
        <v>3.2083333333333339E-2</v>
      </c>
      <c r="O216" s="141"/>
      <c r="P216" s="14">
        <v>212</v>
      </c>
      <c r="Q216" s="12">
        <v>41851</v>
      </c>
      <c r="R216" s="15">
        <f t="shared" si="120"/>
        <v>2.9750000000000002E-2</v>
      </c>
      <c r="S216" s="4"/>
      <c r="T216" s="14">
        <v>212</v>
      </c>
      <c r="U216" s="12">
        <v>42216</v>
      </c>
      <c r="V216" s="15">
        <f t="shared" si="122"/>
        <v>2.9750000000000002E-2</v>
      </c>
      <c r="AA216" s="14">
        <v>212</v>
      </c>
      <c r="AB216" s="12">
        <v>41120</v>
      </c>
      <c r="AC216" s="15">
        <f t="shared" si="123"/>
        <v>4.2583333333333334E-2</v>
      </c>
      <c r="AI216" s="255">
        <v>212</v>
      </c>
      <c r="AJ216" s="253">
        <v>42216</v>
      </c>
      <c r="AK216" s="256">
        <f t="shared" si="117"/>
        <v>5.1916666666666673E-2</v>
      </c>
      <c r="AL216" s="253">
        <v>42582</v>
      </c>
      <c r="AM216" s="256">
        <f t="shared" si="114"/>
        <v>2.9750000000000002E-2</v>
      </c>
      <c r="AO216" s="253">
        <v>42216</v>
      </c>
      <c r="AP216" s="256">
        <f t="shared" si="115"/>
        <v>9.2166666666666647E-2</v>
      </c>
      <c r="AQ216" s="253">
        <v>42582</v>
      </c>
      <c r="AR216" s="256">
        <f t="shared" si="116"/>
        <v>2.7416666666666662E-2</v>
      </c>
    </row>
    <row r="217" spans="4:44" hidden="1" x14ac:dyDescent="0.2">
      <c r="D217" s="14">
        <v>213</v>
      </c>
      <c r="E217" s="12">
        <v>41487</v>
      </c>
      <c r="F217" s="50">
        <f t="shared" ref="F217:F236" si="124">F$186+F$4/D$4/100</f>
        <v>4.3125000000000004E-2</v>
      </c>
      <c r="H217" s="14">
        <v>213</v>
      </c>
      <c r="I217" s="12">
        <v>41852</v>
      </c>
      <c r="J217" s="50">
        <f t="shared" ref="J217:J236" si="125">J$186+J$4/H$4/100</f>
        <v>4.0624999999999994E-2</v>
      </c>
      <c r="K217" s="4"/>
      <c r="L217" s="14">
        <v>213</v>
      </c>
      <c r="M217" s="12">
        <v>42217</v>
      </c>
      <c r="N217" s="50">
        <f>N$186+N$4/L$4/100</f>
        <v>3.437500000000001E-2</v>
      </c>
      <c r="O217" s="141"/>
      <c r="P217" s="14">
        <v>213</v>
      </c>
      <c r="Q217" s="12">
        <v>41852</v>
      </c>
      <c r="R217" s="50">
        <f t="shared" ref="R217:R236" si="126">R$186+R$4/P$4/100</f>
        <v>3.1875000000000001E-2</v>
      </c>
      <c r="S217" s="4"/>
      <c r="T217" s="14">
        <v>213</v>
      </c>
      <c r="U217" s="12">
        <v>42217</v>
      </c>
      <c r="V217" s="50">
        <f>V$186+V$4/T$4/100</f>
        <v>3.1875000000000001E-2</v>
      </c>
      <c r="AA217" s="51">
        <v>213</v>
      </c>
      <c r="AB217" s="12">
        <v>41121</v>
      </c>
      <c r="AC217" s="15">
        <f t="shared" si="123"/>
        <v>4.2583333333333334E-2</v>
      </c>
      <c r="AI217" s="255">
        <v>213</v>
      </c>
      <c r="AJ217" s="258">
        <v>42217</v>
      </c>
      <c r="AK217" s="256">
        <f t="shared" si="117"/>
        <v>5.1916666666666673E-2</v>
      </c>
      <c r="AL217" s="253">
        <v>42583</v>
      </c>
      <c r="AM217" s="256">
        <f t="shared" si="114"/>
        <v>2.9750000000000002E-2</v>
      </c>
      <c r="AO217" s="258">
        <v>42217</v>
      </c>
      <c r="AP217" s="256">
        <f t="shared" si="115"/>
        <v>9.2166666666666647E-2</v>
      </c>
      <c r="AQ217" s="253">
        <v>42583</v>
      </c>
      <c r="AR217" s="256">
        <f t="shared" si="116"/>
        <v>2.7416666666666662E-2</v>
      </c>
    </row>
    <row r="218" spans="4:44" hidden="1" x14ac:dyDescent="0.2">
      <c r="D218" s="14">
        <v>214</v>
      </c>
      <c r="E218" s="12">
        <v>41488</v>
      </c>
      <c r="F218" s="15">
        <f t="shared" si="124"/>
        <v>4.3125000000000004E-2</v>
      </c>
      <c r="H218" s="14">
        <v>214</v>
      </c>
      <c r="I218" s="12">
        <v>41853</v>
      </c>
      <c r="J218" s="15">
        <f t="shared" si="125"/>
        <v>4.0624999999999994E-2</v>
      </c>
      <c r="K218" s="4"/>
      <c r="L218" s="14">
        <v>214</v>
      </c>
      <c r="M218" s="12">
        <v>42218</v>
      </c>
      <c r="N218" s="15">
        <f t="shared" ref="N218:N236" si="127">N$186+N$4/L$4/100</f>
        <v>3.437500000000001E-2</v>
      </c>
      <c r="O218" s="141"/>
      <c r="P218" s="14">
        <v>214</v>
      </c>
      <c r="Q218" s="12">
        <v>41853</v>
      </c>
      <c r="R218" s="15">
        <f t="shared" si="126"/>
        <v>3.1875000000000001E-2</v>
      </c>
      <c r="S218" s="4"/>
      <c r="T218" s="14">
        <v>214</v>
      </c>
      <c r="U218" s="12">
        <v>42218</v>
      </c>
      <c r="V218" s="15">
        <f t="shared" ref="V218:V236" si="128">V$186+V$4/T$4/100</f>
        <v>3.1875000000000001E-2</v>
      </c>
      <c r="AA218" s="51">
        <v>214</v>
      </c>
      <c r="AB218" s="49">
        <v>41122</v>
      </c>
      <c r="AC218" s="50">
        <f>AC$187+AC$4/AA$4/100</f>
        <v>4.5624999999999999E-2</v>
      </c>
      <c r="AI218" s="255">
        <v>214</v>
      </c>
      <c r="AJ218" s="253">
        <v>42218</v>
      </c>
      <c r="AK218" s="256">
        <f t="shared" si="117"/>
        <v>5.1916666666666673E-2</v>
      </c>
      <c r="AL218" s="253">
        <v>42584</v>
      </c>
      <c r="AM218" s="256">
        <f t="shared" si="114"/>
        <v>2.9750000000000002E-2</v>
      </c>
      <c r="AO218" s="253">
        <v>42218</v>
      </c>
      <c r="AP218" s="256">
        <f t="shared" si="115"/>
        <v>9.2166666666666647E-2</v>
      </c>
      <c r="AQ218" s="253">
        <v>42584</v>
      </c>
      <c r="AR218" s="256">
        <f t="shared" si="116"/>
        <v>2.7416666666666662E-2</v>
      </c>
    </row>
    <row r="219" spans="4:44" hidden="1" x14ac:dyDescent="0.2">
      <c r="D219" s="14">
        <v>215</v>
      </c>
      <c r="E219" s="12">
        <v>41489</v>
      </c>
      <c r="F219" s="15">
        <f t="shared" si="124"/>
        <v>4.3125000000000004E-2</v>
      </c>
      <c r="H219" s="14">
        <v>215</v>
      </c>
      <c r="I219" s="12">
        <v>41854</v>
      </c>
      <c r="J219" s="15">
        <f t="shared" si="125"/>
        <v>4.0624999999999994E-2</v>
      </c>
      <c r="K219" s="4"/>
      <c r="L219" s="14">
        <v>215</v>
      </c>
      <c r="M219" s="12">
        <v>42219</v>
      </c>
      <c r="N219" s="15">
        <f t="shared" si="127"/>
        <v>3.437500000000001E-2</v>
      </c>
      <c r="O219" s="141"/>
      <c r="P219" s="14">
        <v>215</v>
      </c>
      <c r="Q219" s="12">
        <v>41854</v>
      </c>
      <c r="R219" s="15">
        <f t="shared" si="126"/>
        <v>3.1875000000000001E-2</v>
      </c>
      <c r="S219" s="4"/>
      <c r="T219" s="14">
        <v>215</v>
      </c>
      <c r="U219" s="12">
        <v>42219</v>
      </c>
      <c r="V219" s="15">
        <f t="shared" si="128"/>
        <v>3.1875000000000001E-2</v>
      </c>
      <c r="AA219" s="14">
        <v>215</v>
      </c>
      <c r="AB219" s="12">
        <v>41123</v>
      </c>
      <c r="AC219" s="15">
        <f t="shared" ref="AC219:AC236" si="129">AC$187+AC$4/AA$4/100</f>
        <v>4.5624999999999999E-2</v>
      </c>
      <c r="AI219" s="255">
        <v>215</v>
      </c>
      <c r="AJ219" s="253">
        <v>42219</v>
      </c>
      <c r="AK219" s="256">
        <f t="shared" si="117"/>
        <v>5.1916666666666673E-2</v>
      </c>
      <c r="AL219" s="253">
        <v>42585</v>
      </c>
      <c r="AM219" s="256">
        <f t="shared" si="114"/>
        <v>2.9750000000000002E-2</v>
      </c>
      <c r="AO219" s="253">
        <v>42219</v>
      </c>
      <c r="AP219" s="256">
        <f t="shared" si="115"/>
        <v>9.2166666666666647E-2</v>
      </c>
      <c r="AQ219" s="253">
        <v>42585</v>
      </c>
      <c r="AR219" s="256">
        <f t="shared" si="116"/>
        <v>2.7416666666666662E-2</v>
      </c>
    </row>
    <row r="220" spans="4:44" hidden="1" x14ac:dyDescent="0.2">
      <c r="D220" s="14">
        <v>216</v>
      </c>
      <c r="E220" s="12">
        <v>41490</v>
      </c>
      <c r="F220" s="15">
        <f t="shared" si="124"/>
        <v>4.3125000000000004E-2</v>
      </c>
      <c r="H220" s="14">
        <v>216</v>
      </c>
      <c r="I220" s="12">
        <v>41855</v>
      </c>
      <c r="J220" s="15">
        <f t="shared" si="125"/>
        <v>4.0624999999999994E-2</v>
      </c>
      <c r="K220" s="4"/>
      <c r="L220" s="14">
        <v>216</v>
      </c>
      <c r="M220" s="12">
        <v>42220</v>
      </c>
      <c r="N220" s="15">
        <f t="shared" si="127"/>
        <v>3.437500000000001E-2</v>
      </c>
      <c r="O220" s="141"/>
      <c r="P220" s="14">
        <v>216</v>
      </c>
      <c r="Q220" s="12">
        <v>41855</v>
      </c>
      <c r="R220" s="15">
        <f t="shared" si="126"/>
        <v>3.1875000000000001E-2</v>
      </c>
      <c r="S220" s="4"/>
      <c r="T220" s="14">
        <v>216</v>
      </c>
      <c r="U220" s="12">
        <v>42220</v>
      </c>
      <c r="V220" s="15">
        <f t="shared" si="128"/>
        <v>3.1875000000000001E-2</v>
      </c>
      <c r="AA220" s="14">
        <v>216</v>
      </c>
      <c r="AB220" s="12">
        <v>41124</v>
      </c>
      <c r="AC220" s="15">
        <f t="shared" si="129"/>
        <v>4.5624999999999999E-2</v>
      </c>
      <c r="AI220" s="255">
        <v>216</v>
      </c>
      <c r="AJ220" s="253">
        <v>42220</v>
      </c>
      <c r="AK220" s="256">
        <f t="shared" si="117"/>
        <v>5.1916666666666673E-2</v>
      </c>
      <c r="AL220" s="253">
        <v>42586</v>
      </c>
      <c r="AM220" s="256">
        <f t="shared" si="114"/>
        <v>2.9750000000000002E-2</v>
      </c>
      <c r="AO220" s="253">
        <v>42220</v>
      </c>
      <c r="AP220" s="256">
        <f t="shared" si="115"/>
        <v>9.2166666666666647E-2</v>
      </c>
      <c r="AQ220" s="253">
        <v>42586</v>
      </c>
      <c r="AR220" s="256">
        <f t="shared" si="116"/>
        <v>2.7416666666666662E-2</v>
      </c>
    </row>
    <row r="221" spans="4:44" hidden="1" x14ac:dyDescent="0.2">
      <c r="D221" s="14">
        <v>217</v>
      </c>
      <c r="E221" s="12">
        <v>41491</v>
      </c>
      <c r="F221" s="15">
        <f t="shared" si="124"/>
        <v>4.3125000000000004E-2</v>
      </c>
      <c r="H221" s="14">
        <v>217</v>
      </c>
      <c r="I221" s="12">
        <v>41856</v>
      </c>
      <c r="J221" s="15">
        <f t="shared" si="125"/>
        <v>4.0624999999999994E-2</v>
      </c>
      <c r="K221" s="4"/>
      <c r="L221" s="14">
        <v>217</v>
      </c>
      <c r="M221" s="12">
        <v>42221</v>
      </c>
      <c r="N221" s="15">
        <f t="shared" si="127"/>
        <v>3.437500000000001E-2</v>
      </c>
      <c r="O221" s="141"/>
      <c r="P221" s="14">
        <v>217</v>
      </c>
      <c r="Q221" s="12">
        <v>41856</v>
      </c>
      <c r="R221" s="15">
        <f t="shared" si="126"/>
        <v>3.1875000000000001E-2</v>
      </c>
      <c r="S221" s="4"/>
      <c r="T221" s="14">
        <v>217</v>
      </c>
      <c r="U221" s="12">
        <v>42221</v>
      </c>
      <c r="V221" s="15">
        <f t="shared" si="128"/>
        <v>3.1875000000000001E-2</v>
      </c>
      <c r="AA221" s="14">
        <v>217</v>
      </c>
      <c r="AB221" s="12">
        <v>41125</v>
      </c>
      <c r="AC221" s="15">
        <f t="shared" si="129"/>
        <v>4.5624999999999999E-2</v>
      </c>
      <c r="AI221" s="255">
        <v>217</v>
      </c>
      <c r="AJ221" s="253">
        <v>42221</v>
      </c>
      <c r="AK221" s="256">
        <f t="shared" si="117"/>
        <v>5.1916666666666673E-2</v>
      </c>
      <c r="AL221" s="253">
        <v>42587</v>
      </c>
      <c r="AM221" s="256">
        <f t="shared" si="114"/>
        <v>2.9750000000000002E-2</v>
      </c>
      <c r="AO221" s="253">
        <v>42221</v>
      </c>
      <c r="AP221" s="256">
        <f t="shared" si="115"/>
        <v>9.2166666666666647E-2</v>
      </c>
      <c r="AQ221" s="253">
        <v>42587</v>
      </c>
      <c r="AR221" s="256">
        <f t="shared" si="116"/>
        <v>2.7416666666666662E-2</v>
      </c>
    </row>
    <row r="222" spans="4:44" hidden="1" x14ac:dyDescent="0.2">
      <c r="D222" s="14">
        <v>218</v>
      </c>
      <c r="E222" s="12">
        <v>41492</v>
      </c>
      <c r="F222" s="15">
        <f t="shared" si="124"/>
        <v>4.3125000000000004E-2</v>
      </c>
      <c r="H222" s="14">
        <v>218</v>
      </c>
      <c r="I222" s="12">
        <v>41857</v>
      </c>
      <c r="J222" s="15">
        <f t="shared" si="125"/>
        <v>4.0624999999999994E-2</v>
      </c>
      <c r="K222" s="4"/>
      <c r="L222" s="14">
        <v>218</v>
      </c>
      <c r="M222" s="12">
        <v>42222</v>
      </c>
      <c r="N222" s="15">
        <f t="shared" si="127"/>
        <v>3.437500000000001E-2</v>
      </c>
      <c r="O222" s="141"/>
      <c r="P222" s="14">
        <v>218</v>
      </c>
      <c r="Q222" s="12">
        <v>41857</v>
      </c>
      <c r="R222" s="15">
        <f t="shared" si="126"/>
        <v>3.1875000000000001E-2</v>
      </c>
      <c r="S222" s="4"/>
      <c r="T222" s="14">
        <v>218</v>
      </c>
      <c r="U222" s="12">
        <v>42222</v>
      </c>
      <c r="V222" s="15">
        <f t="shared" si="128"/>
        <v>3.1875000000000001E-2</v>
      </c>
      <c r="AA222" s="14">
        <v>218</v>
      </c>
      <c r="AB222" s="12">
        <v>41126</v>
      </c>
      <c r="AC222" s="15">
        <f t="shared" si="129"/>
        <v>4.5624999999999999E-2</v>
      </c>
      <c r="AI222" s="255">
        <v>218</v>
      </c>
      <c r="AJ222" s="253">
        <v>42222</v>
      </c>
      <c r="AK222" s="259">
        <f>AK$221+AK$4/AI$4/100</f>
        <v>5.9333333333333342E-2</v>
      </c>
      <c r="AL222" s="253">
        <v>42588</v>
      </c>
      <c r="AM222" s="259">
        <f t="shared" ref="AM222:AM252" si="130">AM$221+AM$4/AI$4/100</f>
        <v>3.4000000000000002E-2</v>
      </c>
      <c r="AO222" s="253">
        <v>42222</v>
      </c>
      <c r="AP222" s="259">
        <f t="shared" ref="AP222:AP252" si="131">AP$221+AP$4/$AI$4/100</f>
        <v>0.10533333333333331</v>
      </c>
      <c r="AQ222" s="253">
        <v>42588</v>
      </c>
      <c r="AR222" s="259">
        <f t="shared" ref="AR222:AR252" si="132">AR$221+AR$4/$AI$4/100</f>
        <v>3.1333333333333331E-2</v>
      </c>
    </row>
    <row r="223" spans="4:44" hidden="1" x14ac:dyDescent="0.2">
      <c r="D223" s="14">
        <v>219</v>
      </c>
      <c r="E223" s="12">
        <v>41493</v>
      </c>
      <c r="F223" s="15">
        <f t="shared" si="124"/>
        <v>4.3125000000000004E-2</v>
      </c>
      <c r="H223" s="14">
        <v>219</v>
      </c>
      <c r="I223" s="12">
        <v>41858</v>
      </c>
      <c r="J223" s="15">
        <f t="shared" si="125"/>
        <v>4.0624999999999994E-2</v>
      </c>
      <c r="K223" s="4"/>
      <c r="L223" s="14">
        <v>219</v>
      </c>
      <c r="M223" s="12">
        <v>42223</v>
      </c>
      <c r="N223" s="15">
        <f t="shared" si="127"/>
        <v>3.437500000000001E-2</v>
      </c>
      <c r="O223" s="141"/>
      <c r="P223" s="14">
        <v>219</v>
      </c>
      <c r="Q223" s="12">
        <v>41858</v>
      </c>
      <c r="R223" s="15">
        <f t="shared" si="126"/>
        <v>3.1875000000000001E-2</v>
      </c>
      <c r="S223" s="4"/>
      <c r="T223" s="14">
        <v>219</v>
      </c>
      <c r="U223" s="12">
        <v>42223</v>
      </c>
      <c r="V223" s="15">
        <f t="shared" si="128"/>
        <v>3.1875000000000001E-2</v>
      </c>
      <c r="AA223" s="14">
        <v>219</v>
      </c>
      <c r="AB223" s="12">
        <v>41127</v>
      </c>
      <c r="AC223" s="15">
        <f t="shared" si="129"/>
        <v>4.5624999999999999E-2</v>
      </c>
      <c r="AI223" s="255">
        <v>219</v>
      </c>
      <c r="AJ223" s="253">
        <v>42223</v>
      </c>
      <c r="AK223" s="256">
        <f t="shared" ref="AK223:AK252" si="133">AK$221+AK$4/AI$4/100</f>
        <v>5.9333333333333342E-2</v>
      </c>
      <c r="AL223" s="253">
        <v>42589</v>
      </c>
      <c r="AM223" s="256">
        <f t="shared" si="130"/>
        <v>3.4000000000000002E-2</v>
      </c>
      <c r="AO223" s="253">
        <v>42223</v>
      </c>
      <c r="AP223" s="256">
        <f t="shared" si="131"/>
        <v>0.10533333333333331</v>
      </c>
      <c r="AQ223" s="253">
        <v>42589</v>
      </c>
      <c r="AR223" s="256">
        <f t="shared" si="132"/>
        <v>3.1333333333333331E-2</v>
      </c>
    </row>
    <row r="224" spans="4:44" hidden="1" x14ac:dyDescent="0.2">
      <c r="D224" s="14">
        <v>220</v>
      </c>
      <c r="E224" s="12">
        <v>41494</v>
      </c>
      <c r="F224" s="15">
        <f t="shared" si="124"/>
        <v>4.3125000000000004E-2</v>
      </c>
      <c r="H224" s="14">
        <v>220</v>
      </c>
      <c r="I224" s="12">
        <v>41859</v>
      </c>
      <c r="J224" s="15">
        <f t="shared" si="125"/>
        <v>4.0624999999999994E-2</v>
      </c>
      <c r="K224" s="4"/>
      <c r="L224" s="14">
        <v>220</v>
      </c>
      <c r="M224" s="12">
        <v>42224</v>
      </c>
      <c r="N224" s="15">
        <f t="shared" si="127"/>
        <v>3.437500000000001E-2</v>
      </c>
      <c r="O224" s="141"/>
      <c r="P224" s="14">
        <v>220</v>
      </c>
      <c r="Q224" s="12">
        <v>41859</v>
      </c>
      <c r="R224" s="15">
        <f t="shared" si="126"/>
        <v>3.1875000000000001E-2</v>
      </c>
      <c r="S224" s="4"/>
      <c r="T224" s="14">
        <v>220</v>
      </c>
      <c r="U224" s="12">
        <v>42224</v>
      </c>
      <c r="V224" s="15">
        <f t="shared" si="128"/>
        <v>3.1875000000000001E-2</v>
      </c>
      <c r="AA224" s="14">
        <v>220</v>
      </c>
      <c r="AB224" s="12">
        <v>41128</v>
      </c>
      <c r="AC224" s="15">
        <f t="shared" si="129"/>
        <v>4.5624999999999999E-2</v>
      </c>
      <c r="AI224" s="255">
        <v>220</v>
      </c>
      <c r="AJ224" s="253">
        <v>42224</v>
      </c>
      <c r="AK224" s="256">
        <f t="shared" si="133"/>
        <v>5.9333333333333342E-2</v>
      </c>
      <c r="AL224" s="253">
        <v>42590</v>
      </c>
      <c r="AM224" s="256">
        <f t="shared" si="130"/>
        <v>3.4000000000000002E-2</v>
      </c>
      <c r="AO224" s="253">
        <v>42224</v>
      </c>
      <c r="AP224" s="256">
        <f t="shared" si="131"/>
        <v>0.10533333333333331</v>
      </c>
      <c r="AQ224" s="253">
        <v>42590</v>
      </c>
      <c r="AR224" s="256">
        <f t="shared" si="132"/>
        <v>3.1333333333333331E-2</v>
      </c>
    </row>
    <row r="225" spans="4:44" hidden="1" x14ac:dyDescent="0.2">
      <c r="D225" s="14">
        <v>221</v>
      </c>
      <c r="E225" s="12">
        <v>41495</v>
      </c>
      <c r="F225" s="15">
        <f t="shared" si="124"/>
        <v>4.3125000000000004E-2</v>
      </c>
      <c r="H225" s="14">
        <v>221</v>
      </c>
      <c r="I225" s="12">
        <v>41860</v>
      </c>
      <c r="J225" s="15">
        <f t="shared" si="125"/>
        <v>4.0624999999999994E-2</v>
      </c>
      <c r="K225" s="4"/>
      <c r="L225" s="14">
        <v>221</v>
      </c>
      <c r="M225" s="12">
        <v>42225</v>
      </c>
      <c r="N225" s="15">
        <f t="shared" si="127"/>
        <v>3.437500000000001E-2</v>
      </c>
      <c r="O225" s="141"/>
      <c r="P225" s="14">
        <v>221</v>
      </c>
      <c r="Q225" s="12">
        <v>41860</v>
      </c>
      <c r="R225" s="15">
        <f t="shared" si="126"/>
        <v>3.1875000000000001E-2</v>
      </c>
      <c r="S225" s="4"/>
      <c r="T225" s="14">
        <v>221</v>
      </c>
      <c r="U225" s="12">
        <v>42225</v>
      </c>
      <c r="V225" s="15">
        <f t="shared" si="128"/>
        <v>3.1875000000000001E-2</v>
      </c>
      <c r="AA225" s="14">
        <v>221</v>
      </c>
      <c r="AB225" s="12">
        <v>41129</v>
      </c>
      <c r="AC225" s="15">
        <f t="shared" si="129"/>
        <v>4.5624999999999999E-2</v>
      </c>
      <c r="AI225" s="255">
        <v>221</v>
      </c>
      <c r="AJ225" s="253">
        <v>42225</v>
      </c>
      <c r="AK225" s="256">
        <f t="shared" si="133"/>
        <v>5.9333333333333342E-2</v>
      </c>
      <c r="AL225" s="253">
        <v>42591</v>
      </c>
      <c r="AM225" s="256">
        <f t="shared" si="130"/>
        <v>3.4000000000000002E-2</v>
      </c>
      <c r="AO225" s="253">
        <v>42225</v>
      </c>
      <c r="AP225" s="256">
        <f t="shared" si="131"/>
        <v>0.10533333333333331</v>
      </c>
      <c r="AQ225" s="253">
        <v>42591</v>
      </c>
      <c r="AR225" s="256">
        <f t="shared" si="132"/>
        <v>3.1333333333333331E-2</v>
      </c>
    </row>
    <row r="226" spans="4:44" hidden="1" x14ac:dyDescent="0.2">
      <c r="D226" s="14">
        <v>222</v>
      </c>
      <c r="E226" s="12">
        <v>41496</v>
      </c>
      <c r="F226" s="15">
        <f t="shared" si="124"/>
        <v>4.3125000000000004E-2</v>
      </c>
      <c r="H226" s="14">
        <v>222</v>
      </c>
      <c r="I226" s="12">
        <v>41861</v>
      </c>
      <c r="J226" s="15">
        <f t="shared" si="125"/>
        <v>4.0624999999999994E-2</v>
      </c>
      <c r="K226" s="4"/>
      <c r="L226" s="14">
        <v>222</v>
      </c>
      <c r="M226" s="12">
        <v>42226</v>
      </c>
      <c r="N226" s="15">
        <f t="shared" si="127"/>
        <v>3.437500000000001E-2</v>
      </c>
      <c r="O226" s="141"/>
      <c r="P226" s="14">
        <v>222</v>
      </c>
      <c r="Q226" s="12">
        <v>41861</v>
      </c>
      <c r="R226" s="15">
        <f t="shared" si="126"/>
        <v>3.1875000000000001E-2</v>
      </c>
      <c r="S226" s="4"/>
      <c r="T226" s="14">
        <v>222</v>
      </c>
      <c r="U226" s="12">
        <v>42226</v>
      </c>
      <c r="V226" s="15">
        <f t="shared" si="128"/>
        <v>3.1875000000000001E-2</v>
      </c>
      <c r="AA226" s="14">
        <v>222</v>
      </c>
      <c r="AB226" s="12">
        <v>41130</v>
      </c>
      <c r="AC226" s="15">
        <f t="shared" si="129"/>
        <v>4.5624999999999999E-2</v>
      </c>
      <c r="AI226" s="255">
        <v>222</v>
      </c>
      <c r="AJ226" s="253">
        <v>42226</v>
      </c>
      <c r="AK226" s="256">
        <f t="shared" si="133"/>
        <v>5.9333333333333342E-2</v>
      </c>
      <c r="AL226" s="253">
        <v>42592</v>
      </c>
      <c r="AM226" s="256">
        <f t="shared" si="130"/>
        <v>3.4000000000000002E-2</v>
      </c>
      <c r="AO226" s="253">
        <v>42226</v>
      </c>
      <c r="AP226" s="256">
        <f t="shared" si="131"/>
        <v>0.10533333333333331</v>
      </c>
      <c r="AQ226" s="253">
        <v>42592</v>
      </c>
      <c r="AR226" s="256">
        <f t="shared" si="132"/>
        <v>3.1333333333333331E-2</v>
      </c>
    </row>
    <row r="227" spans="4:44" hidden="1" x14ac:dyDescent="0.2">
      <c r="D227" s="14">
        <v>223</v>
      </c>
      <c r="E227" s="12">
        <v>41497</v>
      </c>
      <c r="F227" s="15">
        <f t="shared" si="124"/>
        <v>4.3125000000000004E-2</v>
      </c>
      <c r="H227" s="14">
        <v>223</v>
      </c>
      <c r="I227" s="12">
        <v>41862</v>
      </c>
      <c r="J227" s="15">
        <f t="shared" si="125"/>
        <v>4.0624999999999994E-2</v>
      </c>
      <c r="K227" s="4"/>
      <c r="L227" s="14">
        <v>223</v>
      </c>
      <c r="M227" s="12">
        <v>42227</v>
      </c>
      <c r="N227" s="15">
        <f t="shared" si="127"/>
        <v>3.437500000000001E-2</v>
      </c>
      <c r="O227" s="141"/>
      <c r="P227" s="14">
        <v>223</v>
      </c>
      <c r="Q227" s="12">
        <v>41862</v>
      </c>
      <c r="R227" s="15">
        <f t="shared" si="126"/>
        <v>3.1875000000000001E-2</v>
      </c>
      <c r="S227" s="4"/>
      <c r="T227" s="14">
        <v>223</v>
      </c>
      <c r="U227" s="12">
        <v>42227</v>
      </c>
      <c r="V227" s="15">
        <f t="shared" si="128"/>
        <v>3.1875000000000001E-2</v>
      </c>
      <c r="AA227" s="14">
        <v>223</v>
      </c>
      <c r="AB227" s="12">
        <v>41131</v>
      </c>
      <c r="AC227" s="15">
        <f t="shared" si="129"/>
        <v>4.5624999999999999E-2</v>
      </c>
      <c r="AI227" s="255">
        <v>223</v>
      </c>
      <c r="AJ227" s="253">
        <v>42227</v>
      </c>
      <c r="AK227" s="256">
        <f t="shared" si="133"/>
        <v>5.9333333333333342E-2</v>
      </c>
      <c r="AL227" s="253">
        <v>42593</v>
      </c>
      <c r="AM227" s="256">
        <f t="shared" si="130"/>
        <v>3.4000000000000002E-2</v>
      </c>
      <c r="AO227" s="253">
        <v>42227</v>
      </c>
      <c r="AP227" s="256">
        <f t="shared" si="131"/>
        <v>0.10533333333333331</v>
      </c>
      <c r="AQ227" s="253">
        <v>42593</v>
      </c>
      <c r="AR227" s="256">
        <f t="shared" si="132"/>
        <v>3.1333333333333331E-2</v>
      </c>
    </row>
    <row r="228" spans="4:44" hidden="1" x14ac:dyDescent="0.2">
      <c r="D228" s="14">
        <v>224</v>
      </c>
      <c r="E228" s="12">
        <v>41498</v>
      </c>
      <c r="F228" s="15">
        <f t="shared" si="124"/>
        <v>4.3125000000000004E-2</v>
      </c>
      <c r="H228" s="14">
        <v>224</v>
      </c>
      <c r="I228" s="12">
        <v>41863</v>
      </c>
      <c r="J228" s="15">
        <f t="shared" si="125"/>
        <v>4.0624999999999994E-2</v>
      </c>
      <c r="K228" s="4"/>
      <c r="L228" s="14">
        <v>224</v>
      </c>
      <c r="M228" s="12">
        <v>42228</v>
      </c>
      <c r="N228" s="15">
        <f t="shared" si="127"/>
        <v>3.437500000000001E-2</v>
      </c>
      <c r="O228" s="141"/>
      <c r="P228" s="14">
        <v>224</v>
      </c>
      <c r="Q228" s="12">
        <v>41863</v>
      </c>
      <c r="R228" s="15">
        <f t="shared" si="126"/>
        <v>3.1875000000000001E-2</v>
      </c>
      <c r="S228" s="4"/>
      <c r="T228" s="14">
        <v>224</v>
      </c>
      <c r="U228" s="12">
        <v>42228</v>
      </c>
      <c r="V228" s="15">
        <f t="shared" si="128"/>
        <v>3.1875000000000001E-2</v>
      </c>
      <c r="AA228" s="14">
        <v>224</v>
      </c>
      <c r="AB228" s="12">
        <v>41132</v>
      </c>
      <c r="AC228" s="15">
        <f t="shared" si="129"/>
        <v>4.5624999999999999E-2</v>
      </c>
      <c r="AI228" s="255">
        <v>224</v>
      </c>
      <c r="AJ228" s="253">
        <v>42228</v>
      </c>
      <c r="AK228" s="256">
        <f t="shared" si="133"/>
        <v>5.9333333333333342E-2</v>
      </c>
      <c r="AL228" s="253">
        <v>42594</v>
      </c>
      <c r="AM228" s="256">
        <f t="shared" si="130"/>
        <v>3.4000000000000002E-2</v>
      </c>
      <c r="AO228" s="253">
        <v>42228</v>
      </c>
      <c r="AP228" s="256">
        <f t="shared" si="131"/>
        <v>0.10533333333333331</v>
      </c>
      <c r="AQ228" s="253">
        <v>42594</v>
      </c>
      <c r="AR228" s="256">
        <f t="shared" si="132"/>
        <v>3.1333333333333331E-2</v>
      </c>
    </row>
    <row r="229" spans="4:44" hidden="1" x14ac:dyDescent="0.2">
      <c r="D229" s="14">
        <v>225</v>
      </c>
      <c r="E229" s="12">
        <v>41499</v>
      </c>
      <c r="F229" s="15">
        <f t="shared" si="124"/>
        <v>4.3125000000000004E-2</v>
      </c>
      <c r="H229" s="14">
        <v>225</v>
      </c>
      <c r="I229" s="12">
        <v>41864</v>
      </c>
      <c r="J229" s="15">
        <f t="shared" si="125"/>
        <v>4.0624999999999994E-2</v>
      </c>
      <c r="K229" s="4"/>
      <c r="L229" s="14">
        <v>225</v>
      </c>
      <c r="M229" s="12">
        <v>42229</v>
      </c>
      <c r="N229" s="15">
        <f t="shared" si="127"/>
        <v>3.437500000000001E-2</v>
      </c>
      <c r="O229" s="141"/>
      <c r="P229" s="14">
        <v>225</v>
      </c>
      <c r="Q229" s="12">
        <v>41864</v>
      </c>
      <c r="R229" s="15">
        <f t="shared" si="126"/>
        <v>3.1875000000000001E-2</v>
      </c>
      <c r="S229" s="4"/>
      <c r="T229" s="14">
        <v>225</v>
      </c>
      <c r="U229" s="12">
        <v>42229</v>
      </c>
      <c r="V229" s="15">
        <f t="shared" si="128"/>
        <v>3.1875000000000001E-2</v>
      </c>
      <c r="AA229" s="14">
        <v>225</v>
      </c>
      <c r="AB229" s="12">
        <v>41133</v>
      </c>
      <c r="AC229" s="15">
        <f t="shared" si="129"/>
        <v>4.5624999999999999E-2</v>
      </c>
      <c r="AI229" s="255">
        <v>225</v>
      </c>
      <c r="AJ229" s="253">
        <v>42229</v>
      </c>
      <c r="AK229" s="256">
        <f t="shared" si="133"/>
        <v>5.9333333333333342E-2</v>
      </c>
      <c r="AL229" s="253">
        <v>42595</v>
      </c>
      <c r="AM229" s="256">
        <f t="shared" si="130"/>
        <v>3.4000000000000002E-2</v>
      </c>
      <c r="AO229" s="253">
        <v>42229</v>
      </c>
      <c r="AP229" s="256">
        <f t="shared" si="131"/>
        <v>0.10533333333333331</v>
      </c>
      <c r="AQ229" s="253">
        <v>42595</v>
      </c>
      <c r="AR229" s="256">
        <f t="shared" si="132"/>
        <v>3.1333333333333331E-2</v>
      </c>
    </row>
    <row r="230" spans="4:44" hidden="1" x14ac:dyDescent="0.2">
      <c r="D230" s="14">
        <v>226</v>
      </c>
      <c r="E230" s="12">
        <v>41500</v>
      </c>
      <c r="F230" s="15">
        <f t="shared" si="124"/>
        <v>4.3125000000000004E-2</v>
      </c>
      <c r="H230" s="14">
        <v>226</v>
      </c>
      <c r="I230" s="12">
        <v>41865</v>
      </c>
      <c r="J230" s="15">
        <f t="shared" si="125"/>
        <v>4.0624999999999994E-2</v>
      </c>
      <c r="K230" s="4"/>
      <c r="L230" s="14">
        <v>226</v>
      </c>
      <c r="M230" s="12">
        <v>42230</v>
      </c>
      <c r="N230" s="15">
        <f t="shared" si="127"/>
        <v>3.437500000000001E-2</v>
      </c>
      <c r="O230" s="141"/>
      <c r="P230" s="14">
        <v>226</v>
      </c>
      <c r="Q230" s="12">
        <v>41865</v>
      </c>
      <c r="R230" s="15">
        <f t="shared" si="126"/>
        <v>3.1875000000000001E-2</v>
      </c>
      <c r="S230" s="4"/>
      <c r="T230" s="14">
        <v>226</v>
      </c>
      <c r="U230" s="12">
        <v>42230</v>
      </c>
      <c r="V230" s="15">
        <f t="shared" si="128"/>
        <v>3.1875000000000001E-2</v>
      </c>
      <c r="AA230" s="14">
        <v>226</v>
      </c>
      <c r="AB230" s="12">
        <v>41134</v>
      </c>
      <c r="AC230" s="15">
        <f t="shared" si="129"/>
        <v>4.5624999999999999E-2</v>
      </c>
      <c r="AI230" s="255">
        <v>226</v>
      </c>
      <c r="AJ230" s="253">
        <v>42230</v>
      </c>
      <c r="AK230" s="256">
        <f t="shared" si="133"/>
        <v>5.9333333333333342E-2</v>
      </c>
      <c r="AL230" s="253">
        <v>42596</v>
      </c>
      <c r="AM230" s="256">
        <f t="shared" si="130"/>
        <v>3.4000000000000002E-2</v>
      </c>
      <c r="AO230" s="253">
        <v>42230</v>
      </c>
      <c r="AP230" s="256">
        <f t="shared" si="131"/>
        <v>0.10533333333333331</v>
      </c>
      <c r="AQ230" s="253">
        <v>42596</v>
      </c>
      <c r="AR230" s="256">
        <f t="shared" si="132"/>
        <v>3.1333333333333331E-2</v>
      </c>
    </row>
    <row r="231" spans="4:44" hidden="1" x14ac:dyDescent="0.2">
      <c r="D231" s="14">
        <v>227</v>
      </c>
      <c r="E231" s="12">
        <v>41501</v>
      </c>
      <c r="F231" s="15">
        <f t="shared" si="124"/>
        <v>4.3125000000000004E-2</v>
      </c>
      <c r="H231" s="14">
        <v>227</v>
      </c>
      <c r="I231" s="12">
        <v>41866</v>
      </c>
      <c r="J231" s="15">
        <f t="shared" si="125"/>
        <v>4.0624999999999994E-2</v>
      </c>
      <c r="K231" s="4"/>
      <c r="L231" s="14">
        <v>227</v>
      </c>
      <c r="M231" s="12">
        <v>42231</v>
      </c>
      <c r="N231" s="15">
        <f t="shared" si="127"/>
        <v>3.437500000000001E-2</v>
      </c>
      <c r="O231" s="141"/>
      <c r="P231" s="14">
        <v>227</v>
      </c>
      <c r="Q231" s="12">
        <v>41866</v>
      </c>
      <c r="R231" s="15">
        <f t="shared" si="126"/>
        <v>3.1875000000000001E-2</v>
      </c>
      <c r="S231" s="4"/>
      <c r="T231" s="14">
        <v>227</v>
      </c>
      <c r="U231" s="12">
        <v>42231</v>
      </c>
      <c r="V231" s="15">
        <f t="shared" si="128"/>
        <v>3.1875000000000001E-2</v>
      </c>
      <c r="AA231" s="14">
        <v>227</v>
      </c>
      <c r="AB231" s="12">
        <v>41135</v>
      </c>
      <c r="AC231" s="15">
        <f t="shared" si="129"/>
        <v>4.5624999999999999E-2</v>
      </c>
      <c r="AI231" s="255">
        <v>227</v>
      </c>
      <c r="AJ231" s="253">
        <v>42231</v>
      </c>
      <c r="AK231" s="256">
        <f t="shared" si="133"/>
        <v>5.9333333333333342E-2</v>
      </c>
      <c r="AL231" s="253">
        <v>42597</v>
      </c>
      <c r="AM231" s="256">
        <f t="shared" si="130"/>
        <v>3.4000000000000002E-2</v>
      </c>
      <c r="AO231" s="253">
        <v>42231</v>
      </c>
      <c r="AP231" s="256">
        <f t="shared" si="131"/>
        <v>0.10533333333333331</v>
      </c>
      <c r="AQ231" s="253">
        <v>42597</v>
      </c>
      <c r="AR231" s="256">
        <f t="shared" si="132"/>
        <v>3.1333333333333331E-2</v>
      </c>
    </row>
    <row r="232" spans="4:44" hidden="1" x14ac:dyDescent="0.2">
      <c r="D232" s="14">
        <v>228</v>
      </c>
      <c r="E232" s="12">
        <v>41502</v>
      </c>
      <c r="F232" s="15">
        <f t="shared" si="124"/>
        <v>4.3125000000000004E-2</v>
      </c>
      <c r="H232" s="14">
        <v>228</v>
      </c>
      <c r="I232" s="12">
        <v>41867</v>
      </c>
      <c r="J232" s="15">
        <f t="shared" si="125"/>
        <v>4.0624999999999994E-2</v>
      </c>
      <c r="K232" s="4"/>
      <c r="L232" s="14">
        <v>228</v>
      </c>
      <c r="M232" s="12">
        <v>42232</v>
      </c>
      <c r="N232" s="15">
        <f t="shared" si="127"/>
        <v>3.437500000000001E-2</v>
      </c>
      <c r="O232" s="141"/>
      <c r="P232" s="14">
        <v>228</v>
      </c>
      <c r="Q232" s="12">
        <v>41867</v>
      </c>
      <c r="R232" s="15">
        <f t="shared" si="126"/>
        <v>3.1875000000000001E-2</v>
      </c>
      <c r="S232" s="4"/>
      <c r="T232" s="14">
        <v>228</v>
      </c>
      <c r="U232" s="12">
        <v>42232</v>
      </c>
      <c r="V232" s="15">
        <f t="shared" si="128"/>
        <v>3.1875000000000001E-2</v>
      </c>
      <c r="AA232" s="14">
        <v>228</v>
      </c>
      <c r="AB232" s="12">
        <v>41136</v>
      </c>
      <c r="AC232" s="15">
        <f t="shared" si="129"/>
        <v>4.5624999999999999E-2</v>
      </c>
      <c r="AI232" s="255">
        <v>228</v>
      </c>
      <c r="AJ232" s="253">
        <v>42232</v>
      </c>
      <c r="AK232" s="256">
        <f t="shared" si="133"/>
        <v>5.9333333333333342E-2</v>
      </c>
      <c r="AL232" s="253">
        <v>42598</v>
      </c>
      <c r="AM232" s="256">
        <f t="shared" si="130"/>
        <v>3.4000000000000002E-2</v>
      </c>
      <c r="AO232" s="253">
        <v>42232</v>
      </c>
      <c r="AP232" s="256">
        <f t="shared" si="131"/>
        <v>0.10533333333333331</v>
      </c>
      <c r="AQ232" s="253">
        <v>42598</v>
      </c>
      <c r="AR232" s="256">
        <f t="shared" si="132"/>
        <v>3.1333333333333331E-2</v>
      </c>
    </row>
    <row r="233" spans="4:44" hidden="1" x14ac:dyDescent="0.2">
      <c r="D233" s="14">
        <v>229</v>
      </c>
      <c r="E233" s="12">
        <v>41503</v>
      </c>
      <c r="F233" s="15">
        <f t="shared" si="124"/>
        <v>4.3125000000000004E-2</v>
      </c>
      <c r="H233" s="14">
        <v>229</v>
      </c>
      <c r="I233" s="12">
        <v>41868</v>
      </c>
      <c r="J233" s="15">
        <f t="shared" si="125"/>
        <v>4.0624999999999994E-2</v>
      </c>
      <c r="K233" s="4"/>
      <c r="L233" s="14">
        <v>229</v>
      </c>
      <c r="M233" s="12">
        <v>42233</v>
      </c>
      <c r="N233" s="15">
        <f t="shared" si="127"/>
        <v>3.437500000000001E-2</v>
      </c>
      <c r="O233" s="141"/>
      <c r="P233" s="14">
        <v>229</v>
      </c>
      <c r="Q233" s="12">
        <v>41868</v>
      </c>
      <c r="R233" s="15">
        <f t="shared" si="126"/>
        <v>3.1875000000000001E-2</v>
      </c>
      <c r="S233" s="4"/>
      <c r="T233" s="14">
        <v>229</v>
      </c>
      <c r="U233" s="12">
        <v>42233</v>
      </c>
      <c r="V233" s="15">
        <f t="shared" si="128"/>
        <v>3.1875000000000001E-2</v>
      </c>
      <c r="AA233" s="14">
        <v>229</v>
      </c>
      <c r="AB233" s="12">
        <v>41137</v>
      </c>
      <c r="AC233" s="15">
        <f t="shared" si="129"/>
        <v>4.5624999999999999E-2</v>
      </c>
      <c r="AI233" s="255">
        <v>229</v>
      </c>
      <c r="AJ233" s="253">
        <v>42233</v>
      </c>
      <c r="AK233" s="256">
        <f t="shared" si="133"/>
        <v>5.9333333333333342E-2</v>
      </c>
      <c r="AL233" s="253">
        <v>42599</v>
      </c>
      <c r="AM233" s="256">
        <f t="shared" si="130"/>
        <v>3.4000000000000002E-2</v>
      </c>
      <c r="AO233" s="253">
        <v>42233</v>
      </c>
      <c r="AP233" s="256">
        <f t="shared" si="131"/>
        <v>0.10533333333333331</v>
      </c>
      <c r="AQ233" s="253">
        <v>42599</v>
      </c>
      <c r="AR233" s="256">
        <f t="shared" si="132"/>
        <v>3.1333333333333331E-2</v>
      </c>
    </row>
    <row r="234" spans="4:44" hidden="1" x14ac:dyDescent="0.2">
      <c r="D234" s="14">
        <v>230</v>
      </c>
      <c r="E234" s="12">
        <v>41504</v>
      </c>
      <c r="F234" s="15">
        <f t="shared" si="124"/>
        <v>4.3125000000000004E-2</v>
      </c>
      <c r="H234" s="14">
        <v>230</v>
      </c>
      <c r="I234" s="12">
        <v>41869</v>
      </c>
      <c r="J234" s="15">
        <f t="shared" si="125"/>
        <v>4.0624999999999994E-2</v>
      </c>
      <c r="K234" s="4"/>
      <c r="L234" s="14">
        <v>230</v>
      </c>
      <c r="M234" s="12">
        <v>42234</v>
      </c>
      <c r="N234" s="15">
        <f t="shared" si="127"/>
        <v>3.437500000000001E-2</v>
      </c>
      <c r="O234" s="141"/>
      <c r="P234" s="14">
        <v>230</v>
      </c>
      <c r="Q234" s="12">
        <v>41869</v>
      </c>
      <c r="R234" s="15">
        <f t="shared" si="126"/>
        <v>3.1875000000000001E-2</v>
      </c>
      <c r="S234" s="4"/>
      <c r="T234" s="14">
        <v>230</v>
      </c>
      <c r="U234" s="12">
        <v>42234</v>
      </c>
      <c r="V234" s="15">
        <f t="shared" si="128"/>
        <v>3.1875000000000001E-2</v>
      </c>
      <c r="AA234" s="14">
        <v>230</v>
      </c>
      <c r="AB234" s="12">
        <v>41138</v>
      </c>
      <c r="AC234" s="15">
        <f t="shared" si="129"/>
        <v>4.5624999999999999E-2</v>
      </c>
      <c r="AI234" s="255">
        <v>230</v>
      </c>
      <c r="AJ234" s="253">
        <v>42234</v>
      </c>
      <c r="AK234" s="256">
        <f t="shared" si="133"/>
        <v>5.9333333333333342E-2</v>
      </c>
      <c r="AL234" s="253">
        <v>42600</v>
      </c>
      <c r="AM234" s="256">
        <f t="shared" si="130"/>
        <v>3.4000000000000002E-2</v>
      </c>
      <c r="AO234" s="253">
        <v>42234</v>
      </c>
      <c r="AP234" s="256">
        <f t="shared" si="131"/>
        <v>0.10533333333333331</v>
      </c>
      <c r="AQ234" s="253">
        <v>42600</v>
      </c>
      <c r="AR234" s="256">
        <f t="shared" si="132"/>
        <v>3.1333333333333331E-2</v>
      </c>
    </row>
    <row r="235" spans="4:44" hidden="1" x14ac:dyDescent="0.2">
      <c r="D235" s="14">
        <v>231</v>
      </c>
      <c r="E235" s="12">
        <v>41505</v>
      </c>
      <c r="F235" s="15">
        <f t="shared" si="124"/>
        <v>4.3125000000000004E-2</v>
      </c>
      <c r="H235" s="14">
        <v>231</v>
      </c>
      <c r="I235" s="12">
        <v>41870</v>
      </c>
      <c r="J235" s="15">
        <f t="shared" si="125"/>
        <v>4.0624999999999994E-2</v>
      </c>
      <c r="K235" s="4"/>
      <c r="L235" s="14">
        <v>231</v>
      </c>
      <c r="M235" s="12">
        <v>42235</v>
      </c>
      <c r="N235" s="15">
        <f t="shared" si="127"/>
        <v>3.437500000000001E-2</v>
      </c>
      <c r="O235" s="141"/>
      <c r="P235" s="14">
        <v>231</v>
      </c>
      <c r="Q235" s="12">
        <v>41870</v>
      </c>
      <c r="R235" s="15">
        <f t="shared" si="126"/>
        <v>3.1875000000000001E-2</v>
      </c>
      <c r="S235" s="4"/>
      <c r="T235" s="14">
        <v>231</v>
      </c>
      <c r="U235" s="12">
        <v>42235</v>
      </c>
      <c r="V235" s="15">
        <f t="shared" si="128"/>
        <v>3.1875000000000001E-2</v>
      </c>
      <c r="AA235" s="14">
        <v>231</v>
      </c>
      <c r="AB235" s="12">
        <v>41139</v>
      </c>
      <c r="AC235" s="15">
        <f t="shared" si="129"/>
        <v>4.5624999999999999E-2</v>
      </c>
      <c r="AI235" s="255">
        <v>231</v>
      </c>
      <c r="AJ235" s="253">
        <v>42235</v>
      </c>
      <c r="AK235" s="256">
        <f t="shared" si="133"/>
        <v>5.9333333333333342E-2</v>
      </c>
      <c r="AL235" s="253">
        <v>42601</v>
      </c>
      <c r="AM235" s="256">
        <f t="shared" si="130"/>
        <v>3.4000000000000002E-2</v>
      </c>
      <c r="AO235" s="253">
        <v>42235</v>
      </c>
      <c r="AP235" s="256">
        <f t="shared" si="131"/>
        <v>0.10533333333333331</v>
      </c>
      <c r="AQ235" s="253">
        <v>42601</v>
      </c>
      <c r="AR235" s="256">
        <f t="shared" si="132"/>
        <v>3.1333333333333331E-2</v>
      </c>
    </row>
    <row r="236" spans="4:44" hidden="1" x14ac:dyDescent="0.2">
      <c r="D236" s="14">
        <v>232</v>
      </c>
      <c r="E236" s="12">
        <v>41506</v>
      </c>
      <c r="F236" s="15">
        <f t="shared" si="124"/>
        <v>4.3125000000000004E-2</v>
      </c>
      <c r="H236" s="14">
        <v>232</v>
      </c>
      <c r="I236" s="12">
        <v>41871</v>
      </c>
      <c r="J236" s="15">
        <f t="shared" si="125"/>
        <v>4.0624999999999994E-2</v>
      </c>
      <c r="K236" s="4"/>
      <c r="L236" s="14">
        <v>232</v>
      </c>
      <c r="M236" s="12">
        <v>42236</v>
      </c>
      <c r="N236" s="15">
        <f t="shared" si="127"/>
        <v>3.437500000000001E-2</v>
      </c>
      <c r="O236" s="141"/>
      <c r="P236" s="14">
        <v>232</v>
      </c>
      <c r="Q236" s="12">
        <v>41871</v>
      </c>
      <c r="R236" s="15">
        <f t="shared" si="126"/>
        <v>3.1875000000000001E-2</v>
      </c>
      <c r="S236" s="4"/>
      <c r="T236" s="14">
        <v>232</v>
      </c>
      <c r="U236" s="12">
        <v>42236</v>
      </c>
      <c r="V236" s="15">
        <f t="shared" si="128"/>
        <v>3.1875000000000001E-2</v>
      </c>
      <c r="AA236" s="14">
        <v>232</v>
      </c>
      <c r="AB236" s="12">
        <v>41140</v>
      </c>
      <c r="AC236" s="15">
        <f t="shared" si="129"/>
        <v>4.5624999999999999E-2</v>
      </c>
      <c r="AI236" s="255">
        <v>232</v>
      </c>
      <c r="AJ236" s="253">
        <v>42236</v>
      </c>
      <c r="AK236" s="256">
        <f t="shared" si="133"/>
        <v>5.9333333333333342E-2</v>
      </c>
      <c r="AL236" s="253">
        <v>42602</v>
      </c>
      <c r="AM236" s="256">
        <f t="shared" si="130"/>
        <v>3.4000000000000002E-2</v>
      </c>
      <c r="AO236" s="253">
        <v>42236</v>
      </c>
      <c r="AP236" s="256">
        <f t="shared" si="131"/>
        <v>0.10533333333333331</v>
      </c>
      <c r="AQ236" s="253">
        <v>42602</v>
      </c>
      <c r="AR236" s="256">
        <f t="shared" si="132"/>
        <v>3.1333333333333331E-2</v>
      </c>
    </row>
    <row r="237" spans="4:44" hidden="1" x14ac:dyDescent="0.2">
      <c r="D237" s="14">
        <v>233</v>
      </c>
      <c r="E237" s="12">
        <v>41507</v>
      </c>
      <c r="F237" s="50">
        <f t="shared" ref="F237:F247" si="134">F$206+F$4/D$4/100</f>
        <v>4.5999999999999999E-2</v>
      </c>
      <c r="H237" s="14">
        <v>233</v>
      </c>
      <c r="I237" s="12">
        <v>41872</v>
      </c>
      <c r="J237" s="50">
        <f t="shared" ref="J237:J247" si="135">J$206+J$4/H$4/100</f>
        <v>4.3333333333333328E-2</v>
      </c>
      <c r="K237" s="4"/>
      <c r="L237" s="14">
        <v>233</v>
      </c>
      <c r="M237" s="12">
        <v>42237</v>
      </c>
      <c r="N237" s="50">
        <f>N$206+N$4/L$4/100</f>
        <v>3.6666666666666674E-2</v>
      </c>
      <c r="O237" s="141"/>
      <c r="P237" s="14">
        <v>233</v>
      </c>
      <c r="Q237" s="12">
        <v>41872</v>
      </c>
      <c r="R237" s="50">
        <f t="shared" ref="R237:R247" si="136">R$206+R$4/P$4/100</f>
        <v>3.4000000000000002E-2</v>
      </c>
      <c r="S237" s="4"/>
      <c r="T237" s="14">
        <v>233</v>
      </c>
      <c r="U237" s="12">
        <v>42237</v>
      </c>
      <c r="V237" s="50">
        <f>V$206+V$4/T$4/100</f>
        <v>3.4000000000000002E-2</v>
      </c>
      <c r="AA237" s="51">
        <v>233</v>
      </c>
      <c r="AB237" s="12">
        <v>41141</v>
      </c>
      <c r="AC237" s="15">
        <f>AC$187+AC$4/AA$4/100</f>
        <v>4.5624999999999999E-2</v>
      </c>
      <c r="AI237" s="255">
        <v>233</v>
      </c>
      <c r="AJ237" s="253">
        <v>42237</v>
      </c>
      <c r="AK237" s="256">
        <f t="shared" si="133"/>
        <v>5.9333333333333342E-2</v>
      </c>
      <c r="AL237" s="253">
        <v>42603</v>
      </c>
      <c r="AM237" s="256">
        <f t="shared" si="130"/>
        <v>3.4000000000000002E-2</v>
      </c>
      <c r="AO237" s="253">
        <v>42237</v>
      </c>
      <c r="AP237" s="256">
        <f t="shared" si="131"/>
        <v>0.10533333333333331</v>
      </c>
      <c r="AQ237" s="253">
        <v>42603</v>
      </c>
      <c r="AR237" s="256">
        <f t="shared" si="132"/>
        <v>3.1333333333333331E-2</v>
      </c>
    </row>
    <row r="238" spans="4:44" hidden="1" x14ac:dyDescent="0.2">
      <c r="D238" s="14">
        <v>234</v>
      </c>
      <c r="E238" s="12">
        <v>41508</v>
      </c>
      <c r="F238" s="15">
        <f t="shared" si="134"/>
        <v>4.5999999999999999E-2</v>
      </c>
      <c r="H238" s="14">
        <v>234</v>
      </c>
      <c r="I238" s="12">
        <v>41873</v>
      </c>
      <c r="J238" s="15">
        <f t="shared" si="135"/>
        <v>4.3333333333333328E-2</v>
      </c>
      <c r="K238" s="4"/>
      <c r="L238" s="14">
        <v>234</v>
      </c>
      <c r="M238" s="12">
        <v>42238</v>
      </c>
      <c r="N238" s="15">
        <f t="shared" ref="N238:N247" si="137">N$206+N$4/L$4/100</f>
        <v>3.6666666666666674E-2</v>
      </c>
      <c r="O238" s="141"/>
      <c r="P238" s="14">
        <v>234</v>
      </c>
      <c r="Q238" s="12">
        <v>41873</v>
      </c>
      <c r="R238" s="15">
        <f t="shared" si="136"/>
        <v>3.4000000000000002E-2</v>
      </c>
      <c r="S238" s="4"/>
      <c r="T238" s="14">
        <v>234</v>
      </c>
      <c r="U238" s="12">
        <v>42238</v>
      </c>
      <c r="V238" s="15">
        <f t="shared" ref="V238:V247" si="138">V$206+V$4/T$4/100</f>
        <v>3.4000000000000002E-2</v>
      </c>
      <c r="AA238" s="51">
        <v>234</v>
      </c>
      <c r="AB238" s="49">
        <v>41142</v>
      </c>
      <c r="AC238" s="50">
        <f>AC$207+AC$4/AA$4/100</f>
        <v>4.8666666666666664E-2</v>
      </c>
      <c r="AI238" s="255">
        <v>234</v>
      </c>
      <c r="AJ238" s="253">
        <v>42238</v>
      </c>
      <c r="AK238" s="256">
        <f t="shared" si="133"/>
        <v>5.9333333333333342E-2</v>
      </c>
      <c r="AL238" s="253">
        <v>42604</v>
      </c>
      <c r="AM238" s="256">
        <f t="shared" si="130"/>
        <v>3.4000000000000002E-2</v>
      </c>
      <c r="AO238" s="253">
        <v>42238</v>
      </c>
      <c r="AP238" s="256">
        <f t="shared" si="131"/>
        <v>0.10533333333333331</v>
      </c>
      <c r="AQ238" s="253">
        <v>42604</v>
      </c>
      <c r="AR238" s="256">
        <f t="shared" si="132"/>
        <v>3.1333333333333331E-2</v>
      </c>
    </row>
    <row r="239" spans="4:44" hidden="1" x14ac:dyDescent="0.2">
      <c r="D239" s="14">
        <v>235</v>
      </c>
      <c r="E239" s="12">
        <v>41509</v>
      </c>
      <c r="F239" s="15">
        <f t="shared" si="134"/>
        <v>4.5999999999999999E-2</v>
      </c>
      <c r="H239" s="14">
        <v>235</v>
      </c>
      <c r="I239" s="12">
        <v>41874</v>
      </c>
      <c r="J239" s="15">
        <f t="shared" si="135"/>
        <v>4.3333333333333328E-2</v>
      </c>
      <c r="K239" s="4"/>
      <c r="L239" s="14">
        <v>235</v>
      </c>
      <c r="M239" s="12">
        <v>42239</v>
      </c>
      <c r="N239" s="15">
        <f t="shared" si="137"/>
        <v>3.6666666666666674E-2</v>
      </c>
      <c r="O239" s="141"/>
      <c r="P239" s="14">
        <v>235</v>
      </c>
      <c r="Q239" s="12">
        <v>41874</v>
      </c>
      <c r="R239" s="15">
        <f t="shared" si="136"/>
        <v>3.4000000000000002E-2</v>
      </c>
      <c r="S239" s="4"/>
      <c r="T239" s="14">
        <v>235</v>
      </c>
      <c r="U239" s="12">
        <v>42239</v>
      </c>
      <c r="V239" s="15">
        <f t="shared" si="138"/>
        <v>3.4000000000000002E-2</v>
      </c>
      <c r="AA239" s="14">
        <v>235</v>
      </c>
      <c r="AB239" s="12">
        <v>41143</v>
      </c>
      <c r="AC239" s="15">
        <f t="shared" ref="AC239:AC248" si="139">AC$207+AC$4/AA$4/100</f>
        <v>4.8666666666666664E-2</v>
      </c>
      <c r="AI239" s="255">
        <v>235</v>
      </c>
      <c r="AJ239" s="253">
        <v>42239</v>
      </c>
      <c r="AK239" s="256">
        <f t="shared" si="133"/>
        <v>5.9333333333333342E-2</v>
      </c>
      <c r="AL239" s="253">
        <v>42605</v>
      </c>
      <c r="AM239" s="256">
        <f t="shared" si="130"/>
        <v>3.4000000000000002E-2</v>
      </c>
      <c r="AO239" s="253">
        <v>42239</v>
      </c>
      <c r="AP239" s="256">
        <f t="shared" si="131"/>
        <v>0.10533333333333331</v>
      </c>
      <c r="AQ239" s="253">
        <v>42605</v>
      </c>
      <c r="AR239" s="256">
        <f t="shared" si="132"/>
        <v>3.1333333333333331E-2</v>
      </c>
    </row>
    <row r="240" spans="4:44" hidden="1" x14ac:dyDescent="0.2">
      <c r="D240" s="14">
        <v>236</v>
      </c>
      <c r="E240" s="12">
        <v>41510</v>
      </c>
      <c r="F240" s="15">
        <f t="shared" si="134"/>
        <v>4.5999999999999999E-2</v>
      </c>
      <c r="H240" s="14">
        <v>236</v>
      </c>
      <c r="I240" s="12">
        <v>41875</v>
      </c>
      <c r="J240" s="15">
        <f t="shared" si="135"/>
        <v>4.3333333333333328E-2</v>
      </c>
      <c r="K240" s="4"/>
      <c r="L240" s="14">
        <v>236</v>
      </c>
      <c r="M240" s="12">
        <v>42240</v>
      </c>
      <c r="N240" s="15">
        <f t="shared" si="137"/>
        <v>3.6666666666666674E-2</v>
      </c>
      <c r="O240" s="141"/>
      <c r="P240" s="14">
        <v>236</v>
      </c>
      <c r="Q240" s="12">
        <v>41875</v>
      </c>
      <c r="R240" s="15">
        <f t="shared" si="136"/>
        <v>3.4000000000000002E-2</v>
      </c>
      <c r="S240" s="4"/>
      <c r="T240" s="14">
        <v>236</v>
      </c>
      <c r="U240" s="12">
        <v>42240</v>
      </c>
      <c r="V240" s="15">
        <f t="shared" si="138"/>
        <v>3.4000000000000002E-2</v>
      </c>
      <c r="AA240" s="14">
        <v>236</v>
      </c>
      <c r="AB240" s="12">
        <v>41144</v>
      </c>
      <c r="AC240" s="15">
        <f t="shared" si="139"/>
        <v>4.8666666666666664E-2</v>
      </c>
      <c r="AI240" s="255">
        <v>236</v>
      </c>
      <c r="AJ240" s="253">
        <v>42240</v>
      </c>
      <c r="AK240" s="256">
        <f t="shared" si="133"/>
        <v>5.9333333333333342E-2</v>
      </c>
      <c r="AL240" s="253">
        <v>42606</v>
      </c>
      <c r="AM240" s="256">
        <f t="shared" si="130"/>
        <v>3.4000000000000002E-2</v>
      </c>
      <c r="AO240" s="253">
        <v>42240</v>
      </c>
      <c r="AP240" s="256">
        <f t="shared" si="131"/>
        <v>0.10533333333333331</v>
      </c>
      <c r="AQ240" s="253">
        <v>42606</v>
      </c>
      <c r="AR240" s="256">
        <f t="shared" si="132"/>
        <v>3.1333333333333331E-2</v>
      </c>
    </row>
    <row r="241" spans="4:44" hidden="1" x14ac:dyDescent="0.2">
      <c r="D241" s="14">
        <v>237</v>
      </c>
      <c r="E241" s="12">
        <v>41511</v>
      </c>
      <c r="F241" s="15">
        <f t="shared" si="134"/>
        <v>4.5999999999999999E-2</v>
      </c>
      <c r="H241" s="14">
        <v>237</v>
      </c>
      <c r="I241" s="12">
        <v>41876</v>
      </c>
      <c r="J241" s="15">
        <f t="shared" si="135"/>
        <v>4.3333333333333328E-2</v>
      </c>
      <c r="K241" s="4"/>
      <c r="L241" s="14">
        <v>237</v>
      </c>
      <c r="M241" s="12">
        <v>42241</v>
      </c>
      <c r="N241" s="15">
        <f t="shared" si="137"/>
        <v>3.6666666666666674E-2</v>
      </c>
      <c r="O241" s="141"/>
      <c r="P241" s="14">
        <v>237</v>
      </c>
      <c r="Q241" s="12">
        <v>41876</v>
      </c>
      <c r="R241" s="15">
        <f t="shared" si="136"/>
        <v>3.4000000000000002E-2</v>
      </c>
      <c r="S241" s="4"/>
      <c r="T241" s="14">
        <v>237</v>
      </c>
      <c r="U241" s="12">
        <v>42241</v>
      </c>
      <c r="V241" s="15">
        <f t="shared" si="138"/>
        <v>3.4000000000000002E-2</v>
      </c>
      <c r="AA241" s="14">
        <v>237</v>
      </c>
      <c r="AB241" s="12">
        <v>41145</v>
      </c>
      <c r="AC241" s="15">
        <f t="shared" si="139"/>
        <v>4.8666666666666664E-2</v>
      </c>
      <c r="AI241" s="255">
        <v>237</v>
      </c>
      <c r="AJ241" s="253">
        <v>42241</v>
      </c>
      <c r="AK241" s="256">
        <f t="shared" si="133"/>
        <v>5.9333333333333342E-2</v>
      </c>
      <c r="AL241" s="253">
        <v>42607</v>
      </c>
      <c r="AM241" s="256">
        <f t="shared" si="130"/>
        <v>3.4000000000000002E-2</v>
      </c>
      <c r="AO241" s="253">
        <v>42241</v>
      </c>
      <c r="AP241" s="256">
        <f t="shared" si="131"/>
        <v>0.10533333333333331</v>
      </c>
      <c r="AQ241" s="253">
        <v>42607</v>
      </c>
      <c r="AR241" s="256">
        <f t="shared" si="132"/>
        <v>3.1333333333333331E-2</v>
      </c>
    </row>
    <row r="242" spans="4:44" hidden="1" x14ac:dyDescent="0.2">
      <c r="D242" s="14">
        <v>238</v>
      </c>
      <c r="E242" s="12">
        <v>41512</v>
      </c>
      <c r="F242" s="15">
        <f t="shared" si="134"/>
        <v>4.5999999999999999E-2</v>
      </c>
      <c r="H242" s="14">
        <v>238</v>
      </c>
      <c r="I242" s="12">
        <v>41877</v>
      </c>
      <c r="J242" s="15">
        <f t="shared" si="135"/>
        <v>4.3333333333333328E-2</v>
      </c>
      <c r="K242" s="4"/>
      <c r="L242" s="14">
        <v>238</v>
      </c>
      <c r="M242" s="12">
        <v>42242</v>
      </c>
      <c r="N242" s="15">
        <f t="shared" si="137"/>
        <v>3.6666666666666674E-2</v>
      </c>
      <c r="O242" s="141"/>
      <c r="P242" s="14">
        <v>238</v>
      </c>
      <c r="Q242" s="12">
        <v>41877</v>
      </c>
      <c r="R242" s="15">
        <f t="shared" si="136"/>
        <v>3.4000000000000002E-2</v>
      </c>
      <c r="S242" s="4"/>
      <c r="T242" s="14">
        <v>238</v>
      </c>
      <c r="U242" s="12">
        <v>42242</v>
      </c>
      <c r="V242" s="15">
        <f t="shared" si="138"/>
        <v>3.4000000000000002E-2</v>
      </c>
      <c r="AA242" s="14">
        <v>238</v>
      </c>
      <c r="AB242" s="12">
        <v>41146</v>
      </c>
      <c r="AC242" s="15">
        <f t="shared" si="139"/>
        <v>4.8666666666666664E-2</v>
      </c>
      <c r="AI242" s="255">
        <v>238</v>
      </c>
      <c r="AJ242" s="253">
        <v>42242</v>
      </c>
      <c r="AK242" s="256">
        <f t="shared" si="133"/>
        <v>5.9333333333333342E-2</v>
      </c>
      <c r="AL242" s="253">
        <v>42608</v>
      </c>
      <c r="AM242" s="256">
        <f t="shared" si="130"/>
        <v>3.4000000000000002E-2</v>
      </c>
      <c r="AO242" s="253">
        <v>42242</v>
      </c>
      <c r="AP242" s="256">
        <f t="shared" si="131"/>
        <v>0.10533333333333331</v>
      </c>
      <c r="AQ242" s="253">
        <v>42608</v>
      </c>
      <c r="AR242" s="256">
        <f t="shared" si="132"/>
        <v>3.1333333333333331E-2</v>
      </c>
    </row>
    <row r="243" spans="4:44" hidden="1" x14ac:dyDescent="0.2">
      <c r="D243" s="14">
        <v>239</v>
      </c>
      <c r="E243" s="12">
        <v>41513</v>
      </c>
      <c r="F243" s="15">
        <f t="shared" si="134"/>
        <v>4.5999999999999999E-2</v>
      </c>
      <c r="H243" s="14">
        <v>239</v>
      </c>
      <c r="I243" s="12">
        <v>41878</v>
      </c>
      <c r="J243" s="15">
        <f t="shared" si="135"/>
        <v>4.3333333333333328E-2</v>
      </c>
      <c r="K243" s="4"/>
      <c r="L243" s="14">
        <v>239</v>
      </c>
      <c r="M243" s="12">
        <v>42243</v>
      </c>
      <c r="N243" s="15">
        <f t="shared" si="137"/>
        <v>3.6666666666666674E-2</v>
      </c>
      <c r="O243" s="141"/>
      <c r="P243" s="14">
        <v>239</v>
      </c>
      <c r="Q243" s="12">
        <v>41878</v>
      </c>
      <c r="R243" s="15">
        <f t="shared" si="136"/>
        <v>3.4000000000000002E-2</v>
      </c>
      <c r="S243" s="4"/>
      <c r="T243" s="14">
        <v>239</v>
      </c>
      <c r="U243" s="12">
        <v>42243</v>
      </c>
      <c r="V243" s="15">
        <f t="shared" si="138"/>
        <v>3.4000000000000002E-2</v>
      </c>
      <c r="AA243" s="14">
        <v>239</v>
      </c>
      <c r="AB243" s="12">
        <v>41147</v>
      </c>
      <c r="AC243" s="15">
        <f t="shared" si="139"/>
        <v>4.8666666666666664E-2</v>
      </c>
      <c r="AI243" s="255">
        <v>239</v>
      </c>
      <c r="AJ243" s="253">
        <v>42243</v>
      </c>
      <c r="AK243" s="256">
        <f t="shared" si="133"/>
        <v>5.9333333333333342E-2</v>
      </c>
      <c r="AL243" s="253">
        <v>42609</v>
      </c>
      <c r="AM243" s="256">
        <f t="shared" si="130"/>
        <v>3.4000000000000002E-2</v>
      </c>
      <c r="AO243" s="253">
        <v>42243</v>
      </c>
      <c r="AP243" s="256">
        <f t="shared" si="131"/>
        <v>0.10533333333333331</v>
      </c>
      <c r="AQ243" s="253">
        <v>42609</v>
      </c>
      <c r="AR243" s="256">
        <f t="shared" si="132"/>
        <v>3.1333333333333331E-2</v>
      </c>
    </row>
    <row r="244" spans="4:44" hidden="1" x14ac:dyDescent="0.2">
      <c r="D244" s="14">
        <v>240</v>
      </c>
      <c r="E244" s="12">
        <v>41514</v>
      </c>
      <c r="F244" s="15">
        <f t="shared" si="134"/>
        <v>4.5999999999999999E-2</v>
      </c>
      <c r="H244" s="14">
        <v>240</v>
      </c>
      <c r="I244" s="12">
        <v>41879</v>
      </c>
      <c r="J244" s="15">
        <f t="shared" si="135"/>
        <v>4.3333333333333328E-2</v>
      </c>
      <c r="K244" s="4"/>
      <c r="L244" s="14">
        <v>240</v>
      </c>
      <c r="M244" s="12">
        <v>42244</v>
      </c>
      <c r="N244" s="15">
        <f t="shared" si="137"/>
        <v>3.6666666666666674E-2</v>
      </c>
      <c r="O244" s="141"/>
      <c r="P244" s="14">
        <v>240</v>
      </c>
      <c r="Q244" s="12">
        <v>41879</v>
      </c>
      <c r="R244" s="15">
        <f t="shared" si="136"/>
        <v>3.4000000000000002E-2</v>
      </c>
      <c r="S244" s="4"/>
      <c r="T244" s="14">
        <v>240</v>
      </c>
      <c r="U244" s="12">
        <v>42244</v>
      </c>
      <c r="V244" s="15">
        <f t="shared" si="138"/>
        <v>3.4000000000000002E-2</v>
      </c>
      <c r="AA244" s="14">
        <v>240</v>
      </c>
      <c r="AB244" s="12">
        <v>41148</v>
      </c>
      <c r="AC244" s="15">
        <f t="shared" si="139"/>
        <v>4.8666666666666664E-2</v>
      </c>
      <c r="AI244" s="255">
        <v>240</v>
      </c>
      <c r="AJ244" s="253">
        <v>42244</v>
      </c>
      <c r="AK244" s="256">
        <f t="shared" si="133"/>
        <v>5.9333333333333342E-2</v>
      </c>
      <c r="AL244" s="253">
        <v>42610</v>
      </c>
      <c r="AM244" s="256">
        <f t="shared" si="130"/>
        <v>3.4000000000000002E-2</v>
      </c>
      <c r="AO244" s="253">
        <v>42244</v>
      </c>
      <c r="AP244" s="256">
        <f t="shared" si="131"/>
        <v>0.10533333333333331</v>
      </c>
      <c r="AQ244" s="253">
        <v>42610</v>
      </c>
      <c r="AR244" s="256">
        <f t="shared" si="132"/>
        <v>3.1333333333333331E-2</v>
      </c>
    </row>
    <row r="245" spans="4:44" hidden="1" x14ac:dyDescent="0.2">
      <c r="D245" s="14">
        <v>241</v>
      </c>
      <c r="E245" s="12">
        <v>41515</v>
      </c>
      <c r="F245" s="15">
        <f t="shared" si="134"/>
        <v>4.5999999999999999E-2</v>
      </c>
      <c r="H245" s="14">
        <v>241</v>
      </c>
      <c r="I245" s="12">
        <v>41880</v>
      </c>
      <c r="J245" s="15">
        <f t="shared" si="135"/>
        <v>4.3333333333333328E-2</v>
      </c>
      <c r="K245" s="4"/>
      <c r="L245" s="14">
        <v>241</v>
      </c>
      <c r="M245" s="12">
        <v>42245</v>
      </c>
      <c r="N245" s="15">
        <f t="shared" si="137"/>
        <v>3.6666666666666674E-2</v>
      </c>
      <c r="O245" s="141"/>
      <c r="P245" s="14">
        <v>241</v>
      </c>
      <c r="Q245" s="12">
        <v>41880</v>
      </c>
      <c r="R245" s="15">
        <f t="shared" si="136"/>
        <v>3.4000000000000002E-2</v>
      </c>
      <c r="S245" s="4"/>
      <c r="T245" s="14">
        <v>241</v>
      </c>
      <c r="U245" s="12">
        <v>42245</v>
      </c>
      <c r="V245" s="15">
        <f t="shared" si="138"/>
        <v>3.4000000000000002E-2</v>
      </c>
      <c r="AA245" s="14">
        <v>241</v>
      </c>
      <c r="AB245" s="12">
        <v>41149</v>
      </c>
      <c r="AC245" s="15">
        <f t="shared" si="139"/>
        <v>4.8666666666666664E-2</v>
      </c>
      <c r="AI245" s="255">
        <v>241</v>
      </c>
      <c r="AJ245" s="253">
        <v>42245</v>
      </c>
      <c r="AK245" s="256">
        <f t="shared" si="133"/>
        <v>5.9333333333333342E-2</v>
      </c>
      <c r="AL245" s="253">
        <v>42611</v>
      </c>
      <c r="AM245" s="256">
        <f t="shared" si="130"/>
        <v>3.4000000000000002E-2</v>
      </c>
      <c r="AO245" s="253">
        <v>42245</v>
      </c>
      <c r="AP245" s="256">
        <f t="shared" si="131"/>
        <v>0.10533333333333331</v>
      </c>
      <c r="AQ245" s="253">
        <v>42611</v>
      </c>
      <c r="AR245" s="256">
        <f t="shared" si="132"/>
        <v>3.1333333333333331E-2</v>
      </c>
    </row>
    <row r="246" spans="4:44" hidden="1" x14ac:dyDescent="0.2">
      <c r="D246" s="14">
        <v>242</v>
      </c>
      <c r="E246" s="12">
        <v>41516</v>
      </c>
      <c r="F246" s="15">
        <f t="shared" si="134"/>
        <v>4.5999999999999999E-2</v>
      </c>
      <c r="H246" s="14">
        <v>242</v>
      </c>
      <c r="I246" s="12">
        <v>41881</v>
      </c>
      <c r="J246" s="15">
        <f t="shared" si="135"/>
        <v>4.3333333333333328E-2</v>
      </c>
      <c r="K246" s="4"/>
      <c r="L246" s="14">
        <v>242</v>
      </c>
      <c r="M246" s="12">
        <v>42246</v>
      </c>
      <c r="N246" s="15">
        <f t="shared" si="137"/>
        <v>3.6666666666666674E-2</v>
      </c>
      <c r="O246" s="141"/>
      <c r="P246" s="14">
        <v>242</v>
      </c>
      <c r="Q246" s="12">
        <v>41881</v>
      </c>
      <c r="R246" s="15">
        <f t="shared" si="136"/>
        <v>3.4000000000000002E-2</v>
      </c>
      <c r="S246" s="4"/>
      <c r="T246" s="14">
        <v>242</v>
      </c>
      <c r="U246" s="12">
        <v>42246</v>
      </c>
      <c r="V246" s="15">
        <f t="shared" si="138"/>
        <v>3.4000000000000002E-2</v>
      </c>
      <c r="AA246" s="14">
        <v>242</v>
      </c>
      <c r="AB246" s="12">
        <v>41150</v>
      </c>
      <c r="AC246" s="15">
        <f t="shared" si="139"/>
        <v>4.8666666666666664E-2</v>
      </c>
      <c r="AI246" s="255">
        <v>242</v>
      </c>
      <c r="AJ246" s="253">
        <v>42246</v>
      </c>
      <c r="AK246" s="256">
        <f t="shared" si="133"/>
        <v>5.9333333333333342E-2</v>
      </c>
      <c r="AL246" s="253">
        <v>42612</v>
      </c>
      <c r="AM246" s="256">
        <f t="shared" si="130"/>
        <v>3.4000000000000002E-2</v>
      </c>
      <c r="AO246" s="253">
        <v>42246</v>
      </c>
      <c r="AP246" s="256">
        <f t="shared" si="131"/>
        <v>0.10533333333333331</v>
      </c>
      <c r="AQ246" s="253">
        <v>42612</v>
      </c>
      <c r="AR246" s="256">
        <f t="shared" si="132"/>
        <v>3.1333333333333331E-2</v>
      </c>
    </row>
    <row r="247" spans="4:44" hidden="1" x14ac:dyDescent="0.2">
      <c r="D247" s="14">
        <v>243</v>
      </c>
      <c r="E247" s="12">
        <v>41517</v>
      </c>
      <c r="F247" s="15">
        <f t="shared" si="134"/>
        <v>4.5999999999999999E-2</v>
      </c>
      <c r="H247" s="14">
        <v>243</v>
      </c>
      <c r="I247" s="12">
        <v>41882</v>
      </c>
      <c r="J247" s="15">
        <f t="shared" si="135"/>
        <v>4.3333333333333328E-2</v>
      </c>
      <c r="K247" s="4"/>
      <c r="L247" s="14">
        <v>243</v>
      </c>
      <c r="M247" s="12">
        <v>42247</v>
      </c>
      <c r="N247" s="15">
        <f t="shared" si="137"/>
        <v>3.6666666666666674E-2</v>
      </c>
      <c r="O247" s="141"/>
      <c r="P247" s="14">
        <v>243</v>
      </c>
      <c r="Q247" s="12">
        <v>41882</v>
      </c>
      <c r="R247" s="15">
        <f t="shared" si="136"/>
        <v>3.4000000000000002E-2</v>
      </c>
      <c r="S247" s="4"/>
      <c r="T247" s="14">
        <v>243</v>
      </c>
      <c r="U247" s="12">
        <v>42247</v>
      </c>
      <c r="V247" s="15">
        <f t="shared" si="138"/>
        <v>3.4000000000000002E-2</v>
      </c>
      <c r="AA247" s="14">
        <v>243</v>
      </c>
      <c r="AB247" s="12">
        <v>41151</v>
      </c>
      <c r="AC247" s="15">
        <f t="shared" si="139"/>
        <v>4.8666666666666664E-2</v>
      </c>
      <c r="AI247" s="255">
        <v>243</v>
      </c>
      <c r="AJ247" s="253">
        <v>42247</v>
      </c>
      <c r="AK247" s="256">
        <f t="shared" si="133"/>
        <v>5.9333333333333342E-2</v>
      </c>
      <c r="AL247" s="253">
        <v>42613</v>
      </c>
      <c r="AM247" s="256">
        <f t="shared" si="130"/>
        <v>3.4000000000000002E-2</v>
      </c>
      <c r="AO247" s="253">
        <v>42247</v>
      </c>
      <c r="AP247" s="256">
        <f t="shared" si="131"/>
        <v>0.10533333333333331</v>
      </c>
      <c r="AQ247" s="253">
        <v>42613</v>
      </c>
      <c r="AR247" s="256">
        <f t="shared" si="132"/>
        <v>3.1333333333333331E-2</v>
      </c>
    </row>
    <row r="248" spans="4:44" hidden="1" x14ac:dyDescent="0.2">
      <c r="D248" s="14">
        <v>244</v>
      </c>
      <c r="E248" s="12">
        <v>41518</v>
      </c>
      <c r="F248" s="50">
        <f t="shared" ref="F248:F267" si="140">F$217+F$4/D$4/100</f>
        <v>4.8875000000000002E-2</v>
      </c>
      <c r="H248" s="14">
        <v>244</v>
      </c>
      <c r="I248" s="12">
        <v>41883</v>
      </c>
      <c r="J248" s="50">
        <f t="shared" ref="J248:J267" si="141">J$217+J$4/H$4/100</f>
        <v>4.6041666666666661E-2</v>
      </c>
      <c r="K248" s="4"/>
      <c r="L248" s="14">
        <v>244</v>
      </c>
      <c r="M248" s="12">
        <v>42248</v>
      </c>
      <c r="N248" s="50">
        <f>N$217+N$4/L$4/100</f>
        <v>3.8958333333333345E-2</v>
      </c>
      <c r="O248" s="141"/>
      <c r="P248" s="14">
        <v>244</v>
      </c>
      <c r="Q248" s="12">
        <v>41883</v>
      </c>
      <c r="R248" s="50">
        <f t="shared" ref="R248:R267" si="142">R$217+R$4/P$4/100</f>
        <v>3.6125000000000004E-2</v>
      </c>
      <c r="S248" s="4"/>
      <c r="T248" s="14">
        <v>244</v>
      </c>
      <c r="U248" s="12">
        <v>42248</v>
      </c>
      <c r="V248" s="50">
        <f>V$217+V$4/T$4/100</f>
        <v>3.6125000000000004E-2</v>
      </c>
      <c r="AA248" s="51">
        <v>244</v>
      </c>
      <c r="AB248" s="12">
        <v>41152</v>
      </c>
      <c r="AC248" s="15">
        <f t="shared" si="139"/>
        <v>4.8666666666666664E-2</v>
      </c>
      <c r="AI248" s="255">
        <v>244</v>
      </c>
      <c r="AJ248" s="258">
        <v>42248</v>
      </c>
      <c r="AK248" s="256">
        <f t="shared" si="133"/>
        <v>5.9333333333333342E-2</v>
      </c>
      <c r="AL248" s="253">
        <v>42614</v>
      </c>
      <c r="AM248" s="256">
        <f t="shared" si="130"/>
        <v>3.4000000000000002E-2</v>
      </c>
      <c r="AO248" s="258">
        <v>42248</v>
      </c>
      <c r="AP248" s="256">
        <f t="shared" si="131"/>
        <v>0.10533333333333331</v>
      </c>
      <c r="AQ248" s="253">
        <v>42614</v>
      </c>
      <c r="AR248" s="256">
        <f t="shared" si="132"/>
        <v>3.1333333333333331E-2</v>
      </c>
    </row>
    <row r="249" spans="4:44" hidden="1" x14ac:dyDescent="0.2">
      <c r="D249" s="14">
        <v>245</v>
      </c>
      <c r="E249" s="12">
        <v>41519</v>
      </c>
      <c r="F249" s="15">
        <f t="shared" si="140"/>
        <v>4.8875000000000002E-2</v>
      </c>
      <c r="H249" s="14">
        <v>245</v>
      </c>
      <c r="I249" s="12">
        <v>41884</v>
      </c>
      <c r="J249" s="15">
        <f t="shared" si="141"/>
        <v>4.6041666666666661E-2</v>
      </c>
      <c r="K249" s="4"/>
      <c r="L249" s="14">
        <v>245</v>
      </c>
      <c r="M249" s="12">
        <v>42249</v>
      </c>
      <c r="N249" s="15">
        <f t="shared" ref="N249:N267" si="143">N$217+N$4/L$4/100</f>
        <v>3.8958333333333345E-2</v>
      </c>
      <c r="O249" s="141"/>
      <c r="P249" s="14">
        <v>245</v>
      </c>
      <c r="Q249" s="12">
        <v>41884</v>
      </c>
      <c r="R249" s="15">
        <f t="shared" si="142"/>
        <v>3.6125000000000004E-2</v>
      </c>
      <c r="S249" s="4"/>
      <c r="T249" s="14">
        <v>245</v>
      </c>
      <c r="U249" s="12">
        <v>42249</v>
      </c>
      <c r="V249" s="15">
        <f t="shared" ref="V249:V267" si="144">V$217+V$4/T$4/100</f>
        <v>3.6125000000000004E-2</v>
      </c>
      <c r="AA249" s="51">
        <v>245</v>
      </c>
      <c r="AB249" s="49">
        <v>41153</v>
      </c>
      <c r="AC249" s="50">
        <f>AC$218+AC$4/AA$4/100</f>
        <v>5.1708333333333328E-2</v>
      </c>
      <c r="AI249" s="255">
        <v>245</v>
      </c>
      <c r="AJ249" s="253">
        <v>42249</v>
      </c>
      <c r="AK249" s="256">
        <f t="shared" si="133"/>
        <v>5.9333333333333342E-2</v>
      </c>
      <c r="AL249" s="253">
        <v>42615</v>
      </c>
      <c r="AM249" s="256">
        <f t="shared" si="130"/>
        <v>3.4000000000000002E-2</v>
      </c>
      <c r="AO249" s="253">
        <v>42249</v>
      </c>
      <c r="AP249" s="256">
        <f t="shared" si="131"/>
        <v>0.10533333333333331</v>
      </c>
      <c r="AQ249" s="253">
        <v>42615</v>
      </c>
      <c r="AR249" s="256">
        <f t="shared" si="132"/>
        <v>3.1333333333333331E-2</v>
      </c>
    </row>
    <row r="250" spans="4:44" hidden="1" x14ac:dyDescent="0.2">
      <c r="D250" s="14">
        <v>246</v>
      </c>
      <c r="E250" s="12">
        <v>41520</v>
      </c>
      <c r="F250" s="15">
        <f t="shared" si="140"/>
        <v>4.8875000000000002E-2</v>
      </c>
      <c r="H250" s="14">
        <v>246</v>
      </c>
      <c r="I250" s="12">
        <v>41885</v>
      </c>
      <c r="J250" s="15">
        <f t="shared" si="141"/>
        <v>4.6041666666666661E-2</v>
      </c>
      <c r="K250" s="4"/>
      <c r="L250" s="14">
        <v>246</v>
      </c>
      <c r="M250" s="12">
        <v>42250</v>
      </c>
      <c r="N250" s="15">
        <f t="shared" si="143"/>
        <v>3.8958333333333345E-2</v>
      </c>
      <c r="O250" s="141"/>
      <c r="P250" s="14">
        <v>246</v>
      </c>
      <c r="Q250" s="12">
        <v>41885</v>
      </c>
      <c r="R250" s="15">
        <f t="shared" si="142"/>
        <v>3.6125000000000004E-2</v>
      </c>
      <c r="S250" s="4"/>
      <c r="T250" s="14">
        <v>246</v>
      </c>
      <c r="U250" s="12">
        <v>42250</v>
      </c>
      <c r="V250" s="15">
        <f t="shared" si="144"/>
        <v>3.6125000000000004E-2</v>
      </c>
      <c r="AA250" s="14">
        <v>246</v>
      </c>
      <c r="AB250" s="12">
        <v>41154</v>
      </c>
      <c r="AC250" s="15">
        <f t="shared" ref="AC250:AC267" si="145">AC$218+AC$4/AA$4/100</f>
        <v>5.1708333333333328E-2</v>
      </c>
      <c r="AI250" s="255">
        <v>246</v>
      </c>
      <c r="AJ250" s="253">
        <v>42250</v>
      </c>
      <c r="AK250" s="256">
        <f t="shared" si="133"/>
        <v>5.9333333333333342E-2</v>
      </c>
      <c r="AL250" s="253">
        <v>42616</v>
      </c>
      <c r="AM250" s="256">
        <f t="shared" si="130"/>
        <v>3.4000000000000002E-2</v>
      </c>
      <c r="AO250" s="253">
        <v>42250</v>
      </c>
      <c r="AP250" s="256">
        <f t="shared" si="131"/>
        <v>0.10533333333333331</v>
      </c>
      <c r="AQ250" s="253">
        <v>42616</v>
      </c>
      <c r="AR250" s="256">
        <f t="shared" si="132"/>
        <v>3.1333333333333331E-2</v>
      </c>
    </row>
    <row r="251" spans="4:44" hidden="1" x14ac:dyDescent="0.2">
      <c r="D251" s="14">
        <v>247</v>
      </c>
      <c r="E251" s="12">
        <v>41521</v>
      </c>
      <c r="F251" s="15">
        <f t="shared" si="140"/>
        <v>4.8875000000000002E-2</v>
      </c>
      <c r="H251" s="14">
        <v>247</v>
      </c>
      <c r="I251" s="12">
        <v>41886</v>
      </c>
      <c r="J251" s="15">
        <f t="shared" si="141"/>
        <v>4.6041666666666661E-2</v>
      </c>
      <c r="K251" s="4"/>
      <c r="L251" s="14">
        <v>247</v>
      </c>
      <c r="M251" s="12">
        <v>42251</v>
      </c>
      <c r="N251" s="15">
        <f t="shared" si="143"/>
        <v>3.8958333333333345E-2</v>
      </c>
      <c r="O251" s="141"/>
      <c r="P251" s="14">
        <v>247</v>
      </c>
      <c r="Q251" s="12">
        <v>41886</v>
      </c>
      <c r="R251" s="15">
        <f t="shared" si="142"/>
        <v>3.6125000000000004E-2</v>
      </c>
      <c r="S251" s="4"/>
      <c r="T251" s="14">
        <v>247</v>
      </c>
      <c r="U251" s="12">
        <v>42251</v>
      </c>
      <c r="V251" s="15">
        <f t="shared" si="144"/>
        <v>3.6125000000000004E-2</v>
      </c>
      <c r="AA251" s="14">
        <v>247</v>
      </c>
      <c r="AB251" s="12">
        <v>41155</v>
      </c>
      <c r="AC251" s="15">
        <f t="shared" si="145"/>
        <v>5.1708333333333328E-2</v>
      </c>
      <c r="AI251" s="255">
        <v>247</v>
      </c>
      <c r="AJ251" s="253">
        <v>42251</v>
      </c>
      <c r="AK251" s="256">
        <f t="shared" si="133"/>
        <v>5.9333333333333342E-2</v>
      </c>
      <c r="AL251" s="253">
        <v>42617</v>
      </c>
      <c r="AM251" s="256">
        <f t="shared" si="130"/>
        <v>3.4000000000000002E-2</v>
      </c>
      <c r="AO251" s="253">
        <v>42251</v>
      </c>
      <c r="AP251" s="256">
        <f t="shared" si="131"/>
        <v>0.10533333333333331</v>
      </c>
      <c r="AQ251" s="253">
        <v>42617</v>
      </c>
      <c r="AR251" s="256">
        <f t="shared" si="132"/>
        <v>3.1333333333333331E-2</v>
      </c>
    </row>
    <row r="252" spans="4:44" hidden="1" x14ac:dyDescent="0.2">
      <c r="D252" s="14">
        <v>248</v>
      </c>
      <c r="E252" s="12">
        <v>41522</v>
      </c>
      <c r="F252" s="15">
        <f t="shared" si="140"/>
        <v>4.8875000000000002E-2</v>
      </c>
      <c r="H252" s="14">
        <v>248</v>
      </c>
      <c r="I252" s="12">
        <v>41887</v>
      </c>
      <c r="J252" s="15">
        <f t="shared" si="141"/>
        <v>4.6041666666666661E-2</v>
      </c>
      <c r="K252" s="4"/>
      <c r="L252" s="14">
        <v>248</v>
      </c>
      <c r="M252" s="12">
        <v>42252</v>
      </c>
      <c r="N252" s="15">
        <f t="shared" si="143"/>
        <v>3.8958333333333345E-2</v>
      </c>
      <c r="O252" s="141"/>
      <c r="P252" s="14">
        <v>248</v>
      </c>
      <c r="Q252" s="12">
        <v>41887</v>
      </c>
      <c r="R252" s="15">
        <f t="shared" si="142"/>
        <v>3.6125000000000004E-2</v>
      </c>
      <c r="S252" s="4"/>
      <c r="T252" s="14">
        <v>248</v>
      </c>
      <c r="U252" s="12">
        <v>42252</v>
      </c>
      <c r="V252" s="15">
        <f t="shared" si="144"/>
        <v>3.6125000000000004E-2</v>
      </c>
      <c r="AA252" s="14">
        <v>248</v>
      </c>
      <c r="AB252" s="12">
        <v>41156</v>
      </c>
      <c r="AC252" s="15">
        <f t="shared" si="145"/>
        <v>5.1708333333333328E-2</v>
      </c>
      <c r="AI252" s="255">
        <v>248</v>
      </c>
      <c r="AJ252" s="253">
        <v>42252</v>
      </c>
      <c r="AK252" s="256">
        <f t="shared" si="133"/>
        <v>5.9333333333333342E-2</v>
      </c>
      <c r="AL252" s="253">
        <v>42618</v>
      </c>
      <c r="AM252" s="256">
        <f t="shared" si="130"/>
        <v>3.4000000000000002E-2</v>
      </c>
      <c r="AO252" s="253">
        <v>42252</v>
      </c>
      <c r="AP252" s="256">
        <f t="shared" si="131"/>
        <v>0.10533333333333331</v>
      </c>
      <c r="AQ252" s="253">
        <v>42618</v>
      </c>
      <c r="AR252" s="256">
        <f t="shared" si="132"/>
        <v>3.1333333333333331E-2</v>
      </c>
    </row>
    <row r="253" spans="4:44" hidden="1" x14ac:dyDescent="0.2">
      <c r="D253" s="14">
        <v>249</v>
      </c>
      <c r="E253" s="12">
        <v>41523</v>
      </c>
      <c r="F253" s="15">
        <f t="shared" si="140"/>
        <v>4.8875000000000002E-2</v>
      </c>
      <c r="H253" s="14">
        <v>249</v>
      </c>
      <c r="I253" s="12">
        <v>41888</v>
      </c>
      <c r="J253" s="15">
        <f t="shared" si="141"/>
        <v>4.6041666666666661E-2</v>
      </c>
      <c r="K253" s="4"/>
      <c r="L253" s="14">
        <v>249</v>
      </c>
      <c r="M253" s="12">
        <v>42253</v>
      </c>
      <c r="N253" s="15">
        <f t="shared" si="143"/>
        <v>3.8958333333333345E-2</v>
      </c>
      <c r="O253" s="141"/>
      <c r="P253" s="14">
        <v>249</v>
      </c>
      <c r="Q253" s="12">
        <v>41888</v>
      </c>
      <c r="R253" s="15">
        <f t="shared" si="142"/>
        <v>3.6125000000000004E-2</v>
      </c>
      <c r="S253" s="4"/>
      <c r="T253" s="14">
        <v>249</v>
      </c>
      <c r="U253" s="12">
        <v>42253</v>
      </c>
      <c r="V253" s="15">
        <f t="shared" si="144"/>
        <v>3.6125000000000004E-2</v>
      </c>
      <c r="AA253" s="14">
        <v>249</v>
      </c>
      <c r="AB253" s="12">
        <v>41157</v>
      </c>
      <c r="AC253" s="15">
        <f t="shared" si="145"/>
        <v>5.1708333333333328E-2</v>
      </c>
      <c r="AI253" s="255">
        <v>249</v>
      </c>
      <c r="AJ253" s="253">
        <v>42253</v>
      </c>
      <c r="AK253" s="259">
        <f>AK$252+AK$4/AI$4/100</f>
        <v>6.6750000000000004E-2</v>
      </c>
      <c r="AL253" s="253">
        <v>42619</v>
      </c>
      <c r="AM253" s="259">
        <f t="shared" ref="AM253:AM282" si="146">AM$252+AM$4/AI$4/100</f>
        <v>3.8250000000000006E-2</v>
      </c>
      <c r="AO253" s="253">
        <v>42253</v>
      </c>
      <c r="AP253" s="259">
        <f t="shared" ref="AP253:AP282" si="147">AP$252+AP$4/$AI$4/100</f>
        <v>0.11849999999999997</v>
      </c>
      <c r="AQ253" s="253">
        <v>42619</v>
      </c>
      <c r="AR253" s="259">
        <f t="shared" ref="AR253:AR282" si="148">AR$252+AR$4/$AI$4/100</f>
        <v>3.5249999999999997E-2</v>
      </c>
    </row>
    <row r="254" spans="4:44" hidden="1" x14ac:dyDescent="0.2">
      <c r="D254" s="14">
        <v>250</v>
      </c>
      <c r="E254" s="12">
        <v>41524</v>
      </c>
      <c r="F254" s="15">
        <f t="shared" si="140"/>
        <v>4.8875000000000002E-2</v>
      </c>
      <c r="H254" s="14">
        <v>250</v>
      </c>
      <c r="I254" s="12">
        <v>41889</v>
      </c>
      <c r="J254" s="15">
        <f t="shared" si="141"/>
        <v>4.6041666666666661E-2</v>
      </c>
      <c r="K254" s="4"/>
      <c r="L254" s="14">
        <v>250</v>
      </c>
      <c r="M254" s="12">
        <v>42254</v>
      </c>
      <c r="N254" s="15">
        <f t="shared" si="143"/>
        <v>3.8958333333333345E-2</v>
      </c>
      <c r="O254" s="141"/>
      <c r="P254" s="14">
        <v>250</v>
      </c>
      <c r="Q254" s="12">
        <v>41889</v>
      </c>
      <c r="R254" s="15">
        <f t="shared" si="142"/>
        <v>3.6125000000000004E-2</v>
      </c>
      <c r="S254" s="4"/>
      <c r="T254" s="14">
        <v>250</v>
      </c>
      <c r="U254" s="12">
        <v>42254</v>
      </c>
      <c r="V254" s="15">
        <f t="shared" si="144"/>
        <v>3.6125000000000004E-2</v>
      </c>
      <c r="AA254" s="14">
        <v>250</v>
      </c>
      <c r="AB254" s="12">
        <v>41158</v>
      </c>
      <c r="AC254" s="15">
        <f t="shared" si="145"/>
        <v>5.1708333333333328E-2</v>
      </c>
      <c r="AI254" s="255">
        <v>250</v>
      </c>
      <c r="AJ254" s="253">
        <v>42254</v>
      </c>
      <c r="AK254" s="256">
        <f t="shared" ref="AK254:AK282" si="149">AK$252+AK$4/AI$4/100</f>
        <v>6.6750000000000004E-2</v>
      </c>
      <c r="AL254" s="253">
        <v>42620</v>
      </c>
      <c r="AM254" s="256">
        <f t="shared" si="146"/>
        <v>3.8250000000000006E-2</v>
      </c>
      <c r="AO254" s="253">
        <v>42254</v>
      </c>
      <c r="AP254" s="256">
        <f t="shared" si="147"/>
        <v>0.11849999999999997</v>
      </c>
      <c r="AQ254" s="253">
        <v>42620</v>
      </c>
      <c r="AR254" s="256">
        <f t="shared" si="148"/>
        <v>3.5249999999999997E-2</v>
      </c>
    </row>
    <row r="255" spans="4:44" hidden="1" x14ac:dyDescent="0.2">
      <c r="D255" s="14">
        <v>251</v>
      </c>
      <c r="E255" s="12">
        <v>41525</v>
      </c>
      <c r="F255" s="15">
        <f t="shared" si="140"/>
        <v>4.8875000000000002E-2</v>
      </c>
      <c r="H255" s="14">
        <v>251</v>
      </c>
      <c r="I255" s="12">
        <v>41890</v>
      </c>
      <c r="J255" s="15">
        <f t="shared" si="141"/>
        <v>4.6041666666666661E-2</v>
      </c>
      <c r="K255" s="4"/>
      <c r="L255" s="14">
        <v>251</v>
      </c>
      <c r="M255" s="12">
        <v>42255</v>
      </c>
      <c r="N255" s="15">
        <f t="shared" si="143"/>
        <v>3.8958333333333345E-2</v>
      </c>
      <c r="O255" s="141"/>
      <c r="P255" s="14">
        <v>251</v>
      </c>
      <c r="Q255" s="12">
        <v>41890</v>
      </c>
      <c r="R255" s="15">
        <f t="shared" si="142"/>
        <v>3.6125000000000004E-2</v>
      </c>
      <c r="S255" s="4"/>
      <c r="T255" s="14">
        <v>251</v>
      </c>
      <c r="U255" s="12">
        <v>42255</v>
      </c>
      <c r="V255" s="15">
        <f t="shared" si="144"/>
        <v>3.6125000000000004E-2</v>
      </c>
      <c r="AA255" s="14">
        <v>251</v>
      </c>
      <c r="AB255" s="12">
        <v>41159</v>
      </c>
      <c r="AC255" s="15">
        <f t="shared" si="145"/>
        <v>5.1708333333333328E-2</v>
      </c>
      <c r="AI255" s="255">
        <v>251</v>
      </c>
      <c r="AJ255" s="253">
        <v>42255</v>
      </c>
      <c r="AK255" s="256">
        <f t="shared" si="149"/>
        <v>6.6750000000000004E-2</v>
      </c>
      <c r="AL255" s="253">
        <v>42621</v>
      </c>
      <c r="AM255" s="256">
        <f t="shared" si="146"/>
        <v>3.8250000000000006E-2</v>
      </c>
      <c r="AO255" s="253">
        <v>42255</v>
      </c>
      <c r="AP255" s="256">
        <f t="shared" si="147"/>
        <v>0.11849999999999997</v>
      </c>
      <c r="AQ255" s="253">
        <v>42621</v>
      </c>
      <c r="AR255" s="256">
        <f t="shared" si="148"/>
        <v>3.5249999999999997E-2</v>
      </c>
    </row>
    <row r="256" spans="4:44" hidden="1" x14ac:dyDescent="0.2">
      <c r="D256" s="14">
        <v>252</v>
      </c>
      <c r="E256" s="12">
        <v>41526</v>
      </c>
      <c r="F256" s="15">
        <f t="shared" si="140"/>
        <v>4.8875000000000002E-2</v>
      </c>
      <c r="H256" s="14">
        <v>252</v>
      </c>
      <c r="I256" s="12">
        <v>41891</v>
      </c>
      <c r="J256" s="15">
        <f t="shared" si="141"/>
        <v>4.6041666666666661E-2</v>
      </c>
      <c r="K256" s="4"/>
      <c r="L256" s="14">
        <v>252</v>
      </c>
      <c r="M256" s="12">
        <v>42256</v>
      </c>
      <c r="N256" s="15">
        <f t="shared" si="143"/>
        <v>3.8958333333333345E-2</v>
      </c>
      <c r="O256" s="141"/>
      <c r="P256" s="14">
        <v>252</v>
      </c>
      <c r="Q256" s="12">
        <v>41891</v>
      </c>
      <c r="R256" s="15">
        <f t="shared" si="142"/>
        <v>3.6125000000000004E-2</v>
      </c>
      <c r="S256" s="4"/>
      <c r="T256" s="14">
        <v>252</v>
      </c>
      <c r="U256" s="12">
        <v>42256</v>
      </c>
      <c r="V256" s="15">
        <f t="shared" si="144"/>
        <v>3.6125000000000004E-2</v>
      </c>
      <c r="AA256" s="14">
        <v>252</v>
      </c>
      <c r="AB256" s="12">
        <v>41160</v>
      </c>
      <c r="AC256" s="15">
        <f t="shared" si="145"/>
        <v>5.1708333333333328E-2</v>
      </c>
      <c r="AI256" s="255">
        <v>252</v>
      </c>
      <c r="AJ256" s="253">
        <v>42256</v>
      </c>
      <c r="AK256" s="256">
        <f t="shared" si="149"/>
        <v>6.6750000000000004E-2</v>
      </c>
      <c r="AL256" s="253">
        <v>42622</v>
      </c>
      <c r="AM256" s="256">
        <f t="shared" si="146"/>
        <v>3.8250000000000006E-2</v>
      </c>
      <c r="AO256" s="253">
        <v>42256</v>
      </c>
      <c r="AP256" s="256">
        <f t="shared" si="147"/>
        <v>0.11849999999999997</v>
      </c>
      <c r="AQ256" s="253">
        <v>42622</v>
      </c>
      <c r="AR256" s="256">
        <f t="shared" si="148"/>
        <v>3.5249999999999997E-2</v>
      </c>
    </row>
    <row r="257" spans="4:44" hidden="1" x14ac:dyDescent="0.2">
      <c r="D257" s="14">
        <v>253</v>
      </c>
      <c r="E257" s="12">
        <v>41527</v>
      </c>
      <c r="F257" s="15">
        <f t="shared" si="140"/>
        <v>4.8875000000000002E-2</v>
      </c>
      <c r="H257" s="14">
        <v>253</v>
      </c>
      <c r="I257" s="12">
        <v>41892</v>
      </c>
      <c r="J257" s="15">
        <f t="shared" si="141"/>
        <v>4.6041666666666661E-2</v>
      </c>
      <c r="K257" s="4"/>
      <c r="L257" s="14">
        <v>253</v>
      </c>
      <c r="M257" s="12">
        <v>42257</v>
      </c>
      <c r="N257" s="15">
        <f t="shared" si="143"/>
        <v>3.8958333333333345E-2</v>
      </c>
      <c r="O257" s="141"/>
      <c r="P257" s="14">
        <v>253</v>
      </c>
      <c r="Q257" s="12">
        <v>41892</v>
      </c>
      <c r="R257" s="15">
        <f t="shared" si="142"/>
        <v>3.6125000000000004E-2</v>
      </c>
      <c r="S257" s="4"/>
      <c r="T257" s="14">
        <v>253</v>
      </c>
      <c r="U257" s="12">
        <v>42257</v>
      </c>
      <c r="V257" s="15">
        <f t="shared" si="144"/>
        <v>3.6125000000000004E-2</v>
      </c>
      <c r="AA257" s="14">
        <v>253</v>
      </c>
      <c r="AB257" s="12">
        <v>41161</v>
      </c>
      <c r="AC257" s="15">
        <f t="shared" si="145"/>
        <v>5.1708333333333328E-2</v>
      </c>
      <c r="AI257" s="255">
        <v>253</v>
      </c>
      <c r="AJ257" s="253">
        <v>42257</v>
      </c>
      <c r="AK257" s="256">
        <f t="shared" si="149"/>
        <v>6.6750000000000004E-2</v>
      </c>
      <c r="AL257" s="253">
        <v>42623</v>
      </c>
      <c r="AM257" s="256">
        <f t="shared" si="146"/>
        <v>3.8250000000000006E-2</v>
      </c>
      <c r="AO257" s="253">
        <v>42257</v>
      </c>
      <c r="AP257" s="256">
        <f t="shared" si="147"/>
        <v>0.11849999999999997</v>
      </c>
      <c r="AQ257" s="253">
        <v>42623</v>
      </c>
      <c r="AR257" s="256">
        <f t="shared" si="148"/>
        <v>3.5249999999999997E-2</v>
      </c>
    </row>
    <row r="258" spans="4:44" hidden="1" x14ac:dyDescent="0.2">
      <c r="D258" s="14">
        <v>254</v>
      </c>
      <c r="E258" s="12">
        <v>41528</v>
      </c>
      <c r="F258" s="15">
        <f t="shared" si="140"/>
        <v>4.8875000000000002E-2</v>
      </c>
      <c r="H258" s="14">
        <v>254</v>
      </c>
      <c r="I258" s="12">
        <v>41893</v>
      </c>
      <c r="J258" s="15">
        <f t="shared" si="141"/>
        <v>4.6041666666666661E-2</v>
      </c>
      <c r="K258" s="4"/>
      <c r="L258" s="14">
        <v>254</v>
      </c>
      <c r="M258" s="12">
        <v>42258</v>
      </c>
      <c r="N258" s="15">
        <f t="shared" si="143"/>
        <v>3.8958333333333345E-2</v>
      </c>
      <c r="O258" s="141"/>
      <c r="P258" s="14">
        <v>254</v>
      </c>
      <c r="Q258" s="12">
        <v>41893</v>
      </c>
      <c r="R258" s="15">
        <f t="shared" si="142"/>
        <v>3.6125000000000004E-2</v>
      </c>
      <c r="S258" s="4"/>
      <c r="T258" s="14">
        <v>254</v>
      </c>
      <c r="U258" s="12">
        <v>42258</v>
      </c>
      <c r="V258" s="15">
        <f t="shared" si="144"/>
        <v>3.6125000000000004E-2</v>
      </c>
      <c r="AA258" s="14">
        <v>254</v>
      </c>
      <c r="AB258" s="12">
        <v>41162</v>
      </c>
      <c r="AC258" s="15">
        <f t="shared" si="145"/>
        <v>5.1708333333333328E-2</v>
      </c>
      <c r="AI258" s="255">
        <v>254</v>
      </c>
      <c r="AJ258" s="253">
        <v>42258</v>
      </c>
      <c r="AK258" s="256">
        <f t="shared" si="149"/>
        <v>6.6750000000000004E-2</v>
      </c>
      <c r="AL258" s="253">
        <v>42624</v>
      </c>
      <c r="AM258" s="256">
        <f t="shared" si="146"/>
        <v>3.8250000000000006E-2</v>
      </c>
      <c r="AO258" s="253">
        <v>42258</v>
      </c>
      <c r="AP258" s="256">
        <f t="shared" si="147"/>
        <v>0.11849999999999997</v>
      </c>
      <c r="AQ258" s="253">
        <v>42624</v>
      </c>
      <c r="AR258" s="256">
        <f t="shared" si="148"/>
        <v>3.5249999999999997E-2</v>
      </c>
    </row>
    <row r="259" spans="4:44" hidden="1" x14ac:dyDescent="0.2">
      <c r="D259" s="14">
        <v>255</v>
      </c>
      <c r="E259" s="12">
        <v>41529</v>
      </c>
      <c r="F259" s="15">
        <f t="shared" si="140"/>
        <v>4.8875000000000002E-2</v>
      </c>
      <c r="H259" s="14">
        <v>255</v>
      </c>
      <c r="I259" s="12">
        <v>41894</v>
      </c>
      <c r="J259" s="15">
        <f t="shared" si="141"/>
        <v>4.6041666666666661E-2</v>
      </c>
      <c r="K259" s="4"/>
      <c r="L259" s="14">
        <v>255</v>
      </c>
      <c r="M259" s="12">
        <v>42259</v>
      </c>
      <c r="N259" s="15">
        <f t="shared" si="143"/>
        <v>3.8958333333333345E-2</v>
      </c>
      <c r="O259" s="141"/>
      <c r="P259" s="14">
        <v>255</v>
      </c>
      <c r="Q259" s="12">
        <v>41894</v>
      </c>
      <c r="R259" s="15">
        <f t="shared" si="142"/>
        <v>3.6125000000000004E-2</v>
      </c>
      <c r="S259" s="4"/>
      <c r="T259" s="14">
        <v>255</v>
      </c>
      <c r="U259" s="12">
        <v>42259</v>
      </c>
      <c r="V259" s="15">
        <f t="shared" si="144"/>
        <v>3.6125000000000004E-2</v>
      </c>
      <c r="AA259" s="14">
        <v>255</v>
      </c>
      <c r="AB259" s="12">
        <v>41163</v>
      </c>
      <c r="AC259" s="15">
        <f t="shared" si="145"/>
        <v>5.1708333333333328E-2</v>
      </c>
      <c r="AI259" s="255">
        <v>255</v>
      </c>
      <c r="AJ259" s="253">
        <v>42259</v>
      </c>
      <c r="AK259" s="256">
        <f t="shared" si="149"/>
        <v>6.6750000000000004E-2</v>
      </c>
      <c r="AL259" s="253">
        <v>42625</v>
      </c>
      <c r="AM259" s="256">
        <f t="shared" si="146"/>
        <v>3.8250000000000006E-2</v>
      </c>
      <c r="AO259" s="253">
        <v>42259</v>
      </c>
      <c r="AP259" s="256">
        <f t="shared" si="147"/>
        <v>0.11849999999999997</v>
      </c>
      <c r="AQ259" s="253">
        <v>42625</v>
      </c>
      <c r="AR259" s="256">
        <f t="shared" si="148"/>
        <v>3.5249999999999997E-2</v>
      </c>
    </row>
    <row r="260" spans="4:44" hidden="1" x14ac:dyDescent="0.2">
      <c r="D260" s="14">
        <v>256</v>
      </c>
      <c r="E260" s="12">
        <v>41530</v>
      </c>
      <c r="F260" s="15">
        <f t="shared" si="140"/>
        <v>4.8875000000000002E-2</v>
      </c>
      <c r="H260" s="14">
        <v>256</v>
      </c>
      <c r="I260" s="12">
        <v>41895</v>
      </c>
      <c r="J260" s="15">
        <f t="shared" si="141"/>
        <v>4.6041666666666661E-2</v>
      </c>
      <c r="K260" s="4"/>
      <c r="L260" s="14">
        <v>256</v>
      </c>
      <c r="M260" s="12">
        <v>42260</v>
      </c>
      <c r="N260" s="15">
        <f t="shared" si="143"/>
        <v>3.8958333333333345E-2</v>
      </c>
      <c r="O260" s="141"/>
      <c r="P260" s="14">
        <v>256</v>
      </c>
      <c r="Q260" s="12">
        <v>41895</v>
      </c>
      <c r="R260" s="15">
        <f t="shared" si="142"/>
        <v>3.6125000000000004E-2</v>
      </c>
      <c r="S260" s="4"/>
      <c r="T260" s="14">
        <v>256</v>
      </c>
      <c r="U260" s="12">
        <v>42260</v>
      </c>
      <c r="V260" s="15">
        <f t="shared" si="144"/>
        <v>3.6125000000000004E-2</v>
      </c>
      <c r="AA260" s="14">
        <v>256</v>
      </c>
      <c r="AB260" s="12">
        <v>41164</v>
      </c>
      <c r="AC260" s="15">
        <f t="shared" si="145"/>
        <v>5.1708333333333328E-2</v>
      </c>
      <c r="AI260" s="255">
        <v>256</v>
      </c>
      <c r="AJ260" s="253">
        <v>42260</v>
      </c>
      <c r="AK260" s="256">
        <f t="shared" si="149"/>
        <v>6.6750000000000004E-2</v>
      </c>
      <c r="AL260" s="253">
        <v>42626</v>
      </c>
      <c r="AM260" s="256">
        <f t="shared" si="146"/>
        <v>3.8250000000000006E-2</v>
      </c>
      <c r="AO260" s="253">
        <v>42260</v>
      </c>
      <c r="AP260" s="256">
        <f t="shared" si="147"/>
        <v>0.11849999999999997</v>
      </c>
      <c r="AQ260" s="253">
        <v>42626</v>
      </c>
      <c r="AR260" s="256">
        <f t="shared" si="148"/>
        <v>3.5249999999999997E-2</v>
      </c>
    </row>
    <row r="261" spans="4:44" hidden="1" x14ac:dyDescent="0.2">
      <c r="D261" s="14">
        <v>257</v>
      </c>
      <c r="E261" s="12">
        <v>41531</v>
      </c>
      <c r="F261" s="15">
        <f t="shared" si="140"/>
        <v>4.8875000000000002E-2</v>
      </c>
      <c r="H261" s="14">
        <v>257</v>
      </c>
      <c r="I261" s="12">
        <v>41896</v>
      </c>
      <c r="J261" s="15">
        <f t="shared" si="141"/>
        <v>4.6041666666666661E-2</v>
      </c>
      <c r="K261" s="4"/>
      <c r="L261" s="14">
        <v>257</v>
      </c>
      <c r="M261" s="12">
        <v>42261</v>
      </c>
      <c r="N261" s="15">
        <f t="shared" si="143"/>
        <v>3.8958333333333345E-2</v>
      </c>
      <c r="O261" s="141"/>
      <c r="P261" s="14">
        <v>257</v>
      </c>
      <c r="Q261" s="12">
        <v>41896</v>
      </c>
      <c r="R261" s="15">
        <f t="shared" si="142"/>
        <v>3.6125000000000004E-2</v>
      </c>
      <c r="S261" s="4"/>
      <c r="T261" s="14">
        <v>257</v>
      </c>
      <c r="U261" s="12">
        <v>42261</v>
      </c>
      <c r="V261" s="15">
        <f t="shared" si="144"/>
        <v>3.6125000000000004E-2</v>
      </c>
      <c r="AA261" s="14">
        <v>257</v>
      </c>
      <c r="AB261" s="12">
        <v>41165</v>
      </c>
      <c r="AC261" s="15">
        <f t="shared" si="145"/>
        <v>5.1708333333333328E-2</v>
      </c>
      <c r="AI261" s="255">
        <v>257</v>
      </c>
      <c r="AJ261" s="253">
        <v>42261</v>
      </c>
      <c r="AK261" s="256">
        <f t="shared" si="149"/>
        <v>6.6750000000000004E-2</v>
      </c>
      <c r="AL261" s="253">
        <v>42627</v>
      </c>
      <c r="AM261" s="256">
        <f t="shared" si="146"/>
        <v>3.8250000000000006E-2</v>
      </c>
      <c r="AO261" s="253">
        <v>42261</v>
      </c>
      <c r="AP261" s="256">
        <f t="shared" si="147"/>
        <v>0.11849999999999997</v>
      </c>
      <c r="AQ261" s="253">
        <v>42627</v>
      </c>
      <c r="AR261" s="256">
        <f t="shared" si="148"/>
        <v>3.5249999999999997E-2</v>
      </c>
    </row>
    <row r="262" spans="4:44" hidden="1" x14ac:dyDescent="0.2">
      <c r="D262" s="14">
        <v>258</v>
      </c>
      <c r="E262" s="12">
        <v>41532</v>
      </c>
      <c r="F262" s="15">
        <f t="shared" si="140"/>
        <v>4.8875000000000002E-2</v>
      </c>
      <c r="H262" s="14">
        <v>258</v>
      </c>
      <c r="I262" s="12">
        <v>41897</v>
      </c>
      <c r="J262" s="15">
        <f t="shared" si="141"/>
        <v>4.6041666666666661E-2</v>
      </c>
      <c r="K262" s="4"/>
      <c r="L262" s="14">
        <v>258</v>
      </c>
      <c r="M262" s="12">
        <v>42262</v>
      </c>
      <c r="N262" s="15">
        <f t="shared" si="143"/>
        <v>3.8958333333333345E-2</v>
      </c>
      <c r="O262" s="141"/>
      <c r="P262" s="14">
        <v>258</v>
      </c>
      <c r="Q262" s="12">
        <v>41897</v>
      </c>
      <c r="R262" s="15">
        <f t="shared" si="142"/>
        <v>3.6125000000000004E-2</v>
      </c>
      <c r="S262" s="4"/>
      <c r="T262" s="14">
        <v>258</v>
      </c>
      <c r="U262" s="12">
        <v>42262</v>
      </c>
      <c r="V262" s="15">
        <f t="shared" si="144"/>
        <v>3.6125000000000004E-2</v>
      </c>
      <c r="AA262" s="14">
        <v>258</v>
      </c>
      <c r="AB262" s="12">
        <v>41166</v>
      </c>
      <c r="AC262" s="15">
        <f t="shared" si="145"/>
        <v>5.1708333333333328E-2</v>
      </c>
      <c r="AI262" s="255">
        <v>258</v>
      </c>
      <c r="AJ262" s="253">
        <v>42262</v>
      </c>
      <c r="AK262" s="256">
        <f t="shared" si="149"/>
        <v>6.6750000000000004E-2</v>
      </c>
      <c r="AL262" s="253">
        <v>42628</v>
      </c>
      <c r="AM262" s="256">
        <f t="shared" si="146"/>
        <v>3.8250000000000006E-2</v>
      </c>
      <c r="AO262" s="253">
        <v>42262</v>
      </c>
      <c r="AP262" s="256">
        <f t="shared" si="147"/>
        <v>0.11849999999999997</v>
      </c>
      <c r="AQ262" s="253">
        <v>42628</v>
      </c>
      <c r="AR262" s="256">
        <f t="shared" si="148"/>
        <v>3.5249999999999997E-2</v>
      </c>
    </row>
    <row r="263" spans="4:44" hidden="1" x14ac:dyDescent="0.2">
      <c r="D263" s="14">
        <v>259</v>
      </c>
      <c r="E263" s="12">
        <v>41533</v>
      </c>
      <c r="F263" s="15">
        <f t="shared" si="140"/>
        <v>4.8875000000000002E-2</v>
      </c>
      <c r="H263" s="14">
        <v>259</v>
      </c>
      <c r="I263" s="12">
        <v>41898</v>
      </c>
      <c r="J263" s="15">
        <f t="shared" si="141"/>
        <v>4.6041666666666661E-2</v>
      </c>
      <c r="K263" s="4"/>
      <c r="L263" s="14">
        <v>259</v>
      </c>
      <c r="M263" s="12">
        <v>42263</v>
      </c>
      <c r="N263" s="15">
        <f t="shared" si="143"/>
        <v>3.8958333333333345E-2</v>
      </c>
      <c r="O263" s="141"/>
      <c r="P263" s="14">
        <v>259</v>
      </c>
      <c r="Q263" s="12">
        <v>41898</v>
      </c>
      <c r="R263" s="15">
        <f t="shared" si="142"/>
        <v>3.6125000000000004E-2</v>
      </c>
      <c r="S263" s="4"/>
      <c r="T263" s="14">
        <v>259</v>
      </c>
      <c r="U263" s="12">
        <v>42263</v>
      </c>
      <c r="V263" s="15">
        <f t="shared" si="144"/>
        <v>3.6125000000000004E-2</v>
      </c>
      <c r="AA263" s="14">
        <v>259</v>
      </c>
      <c r="AB263" s="12">
        <v>41167</v>
      </c>
      <c r="AC263" s="15">
        <f t="shared" si="145"/>
        <v>5.1708333333333328E-2</v>
      </c>
      <c r="AI263" s="255">
        <v>259</v>
      </c>
      <c r="AJ263" s="253">
        <v>42263</v>
      </c>
      <c r="AK263" s="256">
        <f t="shared" si="149"/>
        <v>6.6750000000000004E-2</v>
      </c>
      <c r="AL263" s="253">
        <v>42629</v>
      </c>
      <c r="AM263" s="256">
        <f t="shared" si="146"/>
        <v>3.8250000000000006E-2</v>
      </c>
      <c r="AO263" s="253">
        <v>42263</v>
      </c>
      <c r="AP263" s="256">
        <f t="shared" si="147"/>
        <v>0.11849999999999997</v>
      </c>
      <c r="AQ263" s="253">
        <v>42629</v>
      </c>
      <c r="AR263" s="256">
        <f t="shared" si="148"/>
        <v>3.5249999999999997E-2</v>
      </c>
    </row>
    <row r="264" spans="4:44" hidden="1" x14ac:dyDescent="0.2">
      <c r="D264" s="14">
        <v>260</v>
      </c>
      <c r="E264" s="12">
        <v>41534</v>
      </c>
      <c r="F264" s="15">
        <f t="shared" si="140"/>
        <v>4.8875000000000002E-2</v>
      </c>
      <c r="H264" s="14">
        <v>260</v>
      </c>
      <c r="I264" s="12">
        <v>41899</v>
      </c>
      <c r="J264" s="15">
        <f t="shared" si="141"/>
        <v>4.6041666666666661E-2</v>
      </c>
      <c r="K264" s="4"/>
      <c r="L264" s="14">
        <v>260</v>
      </c>
      <c r="M264" s="12">
        <v>42264</v>
      </c>
      <c r="N264" s="15">
        <f t="shared" si="143"/>
        <v>3.8958333333333345E-2</v>
      </c>
      <c r="O264" s="141"/>
      <c r="P264" s="14">
        <v>260</v>
      </c>
      <c r="Q264" s="12">
        <v>41899</v>
      </c>
      <c r="R264" s="15">
        <f t="shared" si="142"/>
        <v>3.6125000000000004E-2</v>
      </c>
      <c r="S264" s="4"/>
      <c r="T264" s="14">
        <v>260</v>
      </c>
      <c r="U264" s="12">
        <v>42264</v>
      </c>
      <c r="V264" s="15">
        <f t="shared" si="144"/>
        <v>3.6125000000000004E-2</v>
      </c>
      <c r="AA264" s="14">
        <v>260</v>
      </c>
      <c r="AB264" s="12">
        <v>41168</v>
      </c>
      <c r="AC264" s="15">
        <f t="shared" si="145"/>
        <v>5.1708333333333328E-2</v>
      </c>
      <c r="AI264" s="255">
        <v>260</v>
      </c>
      <c r="AJ264" s="253">
        <v>42264</v>
      </c>
      <c r="AK264" s="256">
        <f t="shared" si="149"/>
        <v>6.6750000000000004E-2</v>
      </c>
      <c r="AL264" s="253">
        <v>42630</v>
      </c>
      <c r="AM264" s="256">
        <f t="shared" si="146"/>
        <v>3.8250000000000006E-2</v>
      </c>
      <c r="AO264" s="253">
        <v>42264</v>
      </c>
      <c r="AP264" s="256">
        <f t="shared" si="147"/>
        <v>0.11849999999999997</v>
      </c>
      <c r="AQ264" s="253">
        <v>42630</v>
      </c>
      <c r="AR264" s="256">
        <f t="shared" si="148"/>
        <v>3.5249999999999997E-2</v>
      </c>
    </row>
    <row r="265" spans="4:44" hidden="1" x14ac:dyDescent="0.2">
      <c r="D265" s="14">
        <v>261</v>
      </c>
      <c r="E265" s="12">
        <v>41535</v>
      </c>
      <c r="F265" s="15">
        <f t="shared" si="140"/>
        <v>4.8875000000000002E-2</v>
      </c>
      <c r="H265" s="14">
        <v>261</v>
      </c>
      <c r="I265" s="12">
        <v>41900</v>
      </c>
      <c r="J265" s="15">
        <f t="shared" si="141"/>
        <v>4.6041666666666661E-2</v>
      </c>
      <c r="K265" s="4"/>
      <c r="L265" s="14">
        <v>261</v>
      </c>
      <c r="M265" s="12">
        <v>42265</v>
      </c>
      <c r="N265" s="15">
        <f t="shared" si="143"/>
        <v>3.8958333333333345E-2</v>
      </c>
      <c r="O265" s="141"/>
      <c r="P265" s="14">
        <v>261</v>
      </c>
      <c r="Q265" s="12">
        <v>41900</v>
      </c>
      <c r="R265" s="15">
        <f t="shared" si="142"/>
        <v>3.6125000000000004E-2</v>
      </c>
      <c r="S265" s="4"/>
      <c r="T265" s="14">
        <v>261</v>
      </c>
      <c r="U265" s="12">
        <v>42265</v>
      </c>
      <c r="V265" s="15">
        <f t="shared" si="144"/>
        <v>3.6125000000000004E-2</v>
      </c>
      <c r="AA265" s="14">
        <v>261</v>
      </c>
      <c r="AB265" s="12">
        <v>41169</v>
      </c>
      <c r="AC265" s="15">
        <f t="shared" si="145"/>
        <v>5.1708333333333328E-2</v>
      </c>
      <c r="AI265" s="255">
        <v>261</v>
      </c>
      <c r="AJ265" s="253">
        <v>42265</v>
      </c>
      <c r="AK265" s="256">
        <f t="shared" si="149"/>
        <v>6.6750000000000004E-2</v>
      </c>
      <c r="AL265" s="253">
        <v>42631</v>
      </c>
      <c r="AM265" s="256">
        <f t="shared" si="146"/>
        <v>3.8250000000000006E-2</v>
      </c>
      <c r="AO265" s="253">
        <v>42265</v>
      </c>
      <c r="AP265" s="256">
        <f t="shared" si="147"/>
        <v>0.11849999999999997</v>
      </c>
      <c r="AQ265" s="253">
        <v>42631</v>
      </c>
      <c r="AR265" s="256">
        <f t="shared" si="148"/>
        <v>3.5249999999999997E-2</v>
      </c>
    </row>
    <row r="266" spans="4:44" hidden="1" x14ac:dyDescent="0.2">
      <c r="D266" s="14">
        <v>262</v>
      </c>
      <c r="E266" s="12">
        <v>41536</v>
      </c>
      <c r="F266" s="15">
        <f t="shared" si="140"/>
        <v>4.8875000000000002E-2</v>
      </c>
      <c r="H266" s="14">
        <v>262</v>
      </c>
      <c r="I266" s="12">
        <v>41901</v>
      </c>
      <c r="J266" s="15">
        <f t="shared" si="141"/>
        <v>4.6041666666666661E-2</v>
      </c>
      <c r="K266" s="4"/>
      <c r="L266" s="14">
        <v>262</v>
      </c>
      <c r="M266" s="12">
        <v>42266</v>
      </c>
      <c r="N266" s="15">
        <f t="shared" si="143"/>
        <v>3.8958333333333345E-2</v>
      </c>
      <c r="O266" s="141"/>
      <c r="P266" s="14">
        <v>262</v>
      </c>
      <c r="Q266" s="12">
        <v>41901</v>
      </c>
      <c r="R266" s="15">
        <f t="shared" si="142"/>
        <v>3.6125000000000004E-2</v>
      </c>
      <c r="S266" s="4"/>
      <c r="T266" s="14">
        <v>262</v>
      </c>
      <c r="U266" s="12">
        <v>42266</v>
      </c>
      <c r="V266" s="15">
        <f t="shared" si="144"/>
        <v>3.6125000000000004E-2</v>
      </c>
      <c r="AA266" s="14">
        <v>262</v>
      </c>
      <c r="AB266" s="12">
        <v>41170</v>
      </c>
      <c r="AC266" s="15">
        <f t="shared" si="145"/>
        <v>5.1708333333333328E-2</v>
      </c>
      <c r="AI266" s="255">
        <v>262</v>
      </c>
      <c r="AJ266" s="253">
        <v>42266</v>
      </c>
      <c r="AK266" s="256">
        <f t="shared" si="149"/>
        <v>6.6750000000000004E-2</v>
      </c>
      <c r="AL266" s="253">
        <v>42632</v>
      </c>
      <c r="AM266" s="256">
        <f t="shared" si="146"/>
        <v>3.8250000000000006E-2</v>
      </c>
      <c r="AO266" s="253">
        <v>42266</v>
      </c>
      <c r="AP266" s="256">
        <f t="shared" si="147"/>
        <v>0.11849999999999997</v>
      </c>
      <c r="AQ266" s="253">
        <v>42632</v>
      </c>
      <c r="AR266" s="256">
        <f t="shared" si="148"/>
        <v>3.5249999999999997E-2</v>
      </c>
    </row>
    <row r="267" spans="4:44" hidden="1" x14ac:dyDescent="0.2">
      <c r="D267" s="14">
        <v>263</v>
      </c>
      <c r="E267" s="12">
        <v>41537</v>
      </c>
      <c r="F267" s="15">
        <f t="shared" si="140"/>
        <v>4.8875000000000002E-2</v>
      </c>
      <c r="H267" s="14">
        <v>263</v>
      </c>
      <c r="I267" s="12">
        <v>41902</v>
      </c>
      <c r="J267" s="15">
        <f t="shared" si="141"/>
        <v>4.6041666666666661E-2</v>
      </c>
      <c r="K267" s="4"/>
      <c r="L267" s="14">
        <v>263</v>
      </c>
      <c r="M267" s="12">
        <v>42267</v>
      </c>
      <c r="N267" s="15">
        <f t="shared" si="143"/>
        <v>3.8958333333333345E-2</v>
      </c>
      <c r="O267" s="141"/>
      <c r="P267" s="14">
        <v>263</v>
      </c>
      <c r="Q267" s="12">
        <v>41902</v>
      </c>
      <c r="R267" s="15">
        <f t="shared" si="142"/>
        <v>3.6125000000000004E-2</v>
      </c>
      <c r="S267" s="4"/>
      <c r="T267" s="14">
        <v>263</v>
      </c>
      <c r="U267" s="12">
        <v>42267</v>
      </c>
      <c r="V267" s="15">
        <f t="shared" si="144"/>
        <v>3.6125000000000004E-2</v>
      </c>
      <c r="AA267" s="14">
        <v>263</v>
      </c>
      <c r="AB267" s="12">
        <v>41171</v>
      </c>
      <c r="AC267" s="15">
        <f t="shared" si="145"/>
        <v>5.1708333333333328E-2</v>
      </c>
      <c r="AI267" s="255">
        <v>263</v>
      </c>
      <c r="AJ267" s="253">
        <v>42267</v>
      </c>
      <c r="AK267" s="256">
        <f t="shared" si="149"/>
        <v>6.6750000000000004E-2</v>
      </c>
      <c r="AL267" s="253">
        <v>42633</v>
      </c>
      <c r="AM267" s="256">
        <f t="shared" si="146"/>
        <v>3.8250000000000006E-2</v>
      </c>
      <c r="AO267" s="253">
        <v>42267</v>
      </c>
      <c r="AP267" s="256">
        <f t="shared" si="147"/>
        <v>0.11849999999999997</v>
      </c>
      <c r="AQ267" s="253">
        <v>42633</v>
      </c>
      <c r="AR267" s="256">
        <f t="shared" si="148"/>
        <v>3.5249999999999997E-2</v>
      </c>
    </row>
    <row r="268" spans="4:44" hidden="1" x14ac:dyDescent="0.2">
      <c r="D268" s="14">
        <v>264</v>
      </c>
      <c r="E268" s="12">
        <v>41538</v>
      </c>
      <c r="F268" s="50">
        <f t="shared" ref="F268:F277" si="150">F$237+F$4/D$4/100</f>
        <v>5.1749999999999997E-2</v>
      </c>
      <c r="H268" s="14">
        <v>264</v>
      </c>
      <c r="I268" s="12">
        <v>41903</v>
      </c>
      <c r="J268" s="50">
        <f t="shared" ref="J268:J277" si="151">J$237+J$4/H$4/100</f>
        <v>4.8749999999999995E-2</v>
      </c>
      <c r="K268" s="4"/>
      <c r="L268" s="14">
        <v>264</v>
      </c>
      <c r="M268" s="12">
        <v>42268</v>
      </c>
      <c r="N268" s="50">
        <f>N$237+N$4/L$4/100</f>
        <v>4.1250000000000009E-2</v>
      </c>
      <c r="O268" s="141"/>
      <c r="P268" s="14">
        <v>264</v>
      </c>
      <c r="Q268" s="12">
        <v>41903</v>
      </c>
      <c r="R268" s="50">
        <f t="shared" ref="R268:R277" si="152">R$237+R$4/P$4/100</f>
        <v>3.8250000000000006E-2</v>
      </c>
      <c r="S268" s="4"/>
      <c r="T268" s="14">
        <v>264</v>
      </c>
      <c r="U268" s="12">
        <v>42268</v>
      </c>
      <c r="V268" s="50">
        <f>V$237+V$4/T$4/100</f>
        <v>3.8250000000000006E-2</v>
      </c>
      <c r="AA268" s="51">
        <v>264</v>
      </c>
      <c r="AB268" s="12">
        <v>41172</v>
      </c>
      <c r="AC268" s="15">
        <f>AC$218+AC$4/AA$4/100</f>
        <v>5.1708333333333328E-2</v>
      </c>
      <c r="AI268" s="255">
        <v>264</v>
      </c>
      <c r="AJ268" s="253">
        <v>42268</v>
      </c>
      <c r="AK268" s="256">
        <f t="shared" si="149"/>
        <v>6.6750000000000004E-2</v>
      </c>
      <c r="AL268" s="253">
        <v>42634</v>
      </c>
      <c r="AM268" s="256">
        <f t="shared" si="146"/>
        <v>3.8250000000000006E-2</v>
      </c>
      <c r="AO268" s="253">
        <v>42268</v>
      </c>
      <c r="AP268" s="256">
        <f t="shared" si="147"/>
        <v>0.11849999999999997</v>
      </c>
      <c r="AQ268" s="253">
        <v>42634</v>
      </c>
      <c r="AR268" s="256">
        <f t="shared" si="148"/>
        <v>3.5249999999999997E-2</v>
      </c>
    </row>
    <row r="269" spans="4:44" hidden="1" x14ac:dyDescent="0.2">
      <c r="D269" s="14">
        <v>265</v>
      </c>
      <c r="E269" s="12">
        <v>41539</v>
      </c>
      <c r="F269" s="15">
        <f t="shared" si="150"/>
        <v>5.1749999999999997E-2</v>
      </c>
      <c r="H269" s="14">
        <v>265</v>
      </c>
      <c r="I269" s="12">
        <v>41904</v>
      </c>
      <c r="J269" s="15">
        <f t="shared" si="151"/>
        <v>4.8749999999999995E-2</v>
      </c>
      <c r="K269" s="4"/>
      <c r="L269" s="14">
        <v>265</v>
      </c>
      <c r="M269" s="12">
        <v>42269</v>
      </c>
      <c r="N269" s="15">
        <f t="shared" ref="N269:N277" si="153">N$237+N$4/L$4/100</f>
        <v>4.1250000000000009E-2</v>
      </c>
      <c r="O269" s="141"/>
      <c r="P269" s="14">
        <v>265</v>
      </c>
      <c r="Q269" s="12">
        <v>41904</v>
      </c>
      <c r="R269" s="15">
        <f t="shared" si="152"/>
        <v>3.8250000000000006E-2</v>
      </c>
      <c r="S269" s="4"/>
      <c r="T269" s="14">
        <v>265</v>
      </c>
      <c r="U269" s="12">
        <v>42269</v>
      </c>
      <c r="V269" s="15">
        <f t="shared" ref="V269:V277" si="154">V$237+V$4/T$4/100</f>
        <v>3.8250000000000006E-2</v>
      </c>
      <c r="AA269" s="51">
        <v>265</v>
      </c>
      <c r="AB269" s="49">
        <v>41173</v>
      </c>
      <c r="AC269" s="50">
        <f>AC$238+AC$4/AA$4/100</f>
        <v>5.4749999999999993E-2</v>
      </c>
      <c r="AI269" s="255">
        <v>265</v>
      </c>
      <c r="AJ269" s="253">
        <v>42269</v>
      </c>
      <c r="AK269" s="256">
        <f t="shared" si="149"/>
        <v>6.6750000000000004E-2</v>
      </c>
      <c r="AL269" s="253">
        <v>42635</v>
      </c>
      <c r="AM269" s="256">
        <f t="shared" si="146"/>
        <v>3.8250000000000006E-2</v>
      </c>
      <c r="AO269" s="253">
        <v>42269</v>
      </c>
      <c r="AP269" s="256">
        <f t="shared" si="147"/>
        <v>0.11849999999999997</v>
      </c>
      <c r="AQ269" s="253">
        <v>42635</v>
      </c>
      <c r="AR269" s="256">
        <f t="shared" si="148"/>
        <v>3.5249999999999997E-2</v>
      </c>
    </row>
    <row r="270" spans="4:44" hidden="1" x14ac:dyDescent="0.2">
      <c r="D270" s="14">
        <v>266</v>
      </c>
      <c r="E270" s="12">
        <v>41540</v>
      </c>
      <c r="F270" s="15">
        <f t="shared" si="150"/>
        <v>5.1749999999999997E-2</v>
      </c>
      <c r="H270" s="14">
        <v>266</v>
      </c>
      <c r="I270" s="12">
        <v>41905</v>
      </c>
      <c r="J270" s="15">
        <f t="shared" si="151"/>
        <v>4.8749999999999995E-2</v>
      </c>
      <c r="K270" s="4"/>
      <c r="L270" s="14">
        <v>266</v>
      </c>
      <c r="M270" s="12">
        <v>42270</v>
      </c>
      <c r="N270" s="15">
        <f t="shared" si="153"/>
        <v>4.1250000000000009E-2</v>
      </c>
      <c r="O270" s="141"/>
      <c r="P270" s="14">
        <v>266</v>
      </c>
      <c r="Q270" s="12">
        <v>41905</v>
      </c>
      <c r="R270" s="15">
        <f t="shared" si="152"/>
        <v>3.8250000000000006E-2</v>
      </c>
      <c r="S270" s="4"/>
      <c r="T270" s="14">
        <v>266</v>
      </c>
      <c r="U270" s="12">
        <v>42270</v>
      </c>
      <c r="V270" s="15">
        <f t="shared" si="154"/>
        <v>3.8250000000000006E-2</v>
      </c>
      <c r="AA270" s="14">
        <v>266</v>
      </c>
      <c r="AB270" s="12">
        <v>41174</v>
      </c>
      <c r="AC270" s="15">
        <f t="shared" ref="AC270:AC278" si="155">AC$238+AC$4/AA$4/100</f>
        <v>5.4749999999999993E-2</v>
      </c>
      <c r="AI270" s="255">
        <v>266</v>
      </c>
      <c r="AJ270" s="253">
        <v>42270</v>
      </c>
      <c r="AK270" s="256">
        <f t="shared" si="149"/>
        <v>6.6750000000000004E-2</v>
      </c>
      <c r="AL270" s="253">
        <v>42636</v>
      </c>
      <c r="AM270" s="256">
        <f t="shared" si="146"/>
        <v>3.8250000000000006E-2</v>
      </c>
      <c r="AO270" s="253">
        <v>42270</v>
      </c>
      <c r="AP270" s="256">
        <f t="shared" si="147"/>
        <v>0.11849999999999997</v>
      </c>
      <c r="AQ270" s="253">
        <v>42636</v>
      </c>
      <c r="AR270" s="256">
        <f t="shared" si="148"/>
        <v>3.5249999999999997E-2</v>
      </c>
    </row>
    <row r="271" spans="4:44" hidden="1" x14ac:dyDescent="0.2">
      <c r="D271" s="14">
        <v>267</v>
      </c>
      <c r="E271" s="12">
        <v>41541</v>
      </c>
      <c r="F271" s="15">
        <f t="shared" si="150"/>
        <v>5.1749999999999997E-2</v>
      </c>
      <c r="H271" s="14">
        <v>267</v>
      </c>
      <c r="I271" s="12">
        <v>41906</v>
      </c>
      <c r="J271" s="15">
        <f t="shared" si="151"/>
        <v>4.8749999999999995E-2</v>
      </c>
      <c r="K271" s="4"/>
      <c r="L271" s="14">
        <v>267</v>
      </c>
      <c r="M271" s="12">
        <v>42271</v>
      </c>
      <c r="N271" s="15">
        <f t="shared" si="153"/>
        <v>4.1250000000000009E-2</v>
      </c>
      <c r="O271" s="141"/>
      <c r="P271" s="14">
        <v>267</v>
      </c>
      <c r="Q271" s="12">
        <v>41906</v>
      </c>
      <c r="R271" s="15">
        <f t="shared" si="152"/>
        <v>3.8250000000000006E-2</v>
      </c>
      <c r="S271" s="4"/>
      <c r="T271" s="14">
        <v>267</v>
      </c>
      <c r="U271" s="12">
        <v>42271</v>
      </c>
      <c r="V271" s="15">
        <f t="shared" si="154"/>
        <v>3.8250000000000006E-2</v>
      </c>
      <c r="AA271" s="14">
        <v>267</v>
      </c>
      <c r="AB271" s="12">
        <v>41175</v>
      </c>
      <c r="AC271" s="15">
        <f t="shared" si="155"/>
        <v>5.4749999999999993E-2</v>
      </c>
      <c r="AI271" s="255">
        <v>267</v>
      </c>
      <c r="AJ271" s="253">
        <v>42271</v>
      </c>
      <c r="AK271" s="256">
        <f t="shared" si="149"/>
        <v>6.6750000000000004E-2</v>
      </c>
      <c r="AL271" s="253">
        <v>42637</v>
      </c>
      <c r="AM271" s="256">
        <f t="shared" si="146"/>
        <v>3.8250000000000006E-2</v>
      </c>
      <c r="AO271" s="253">
        <v>42271</v>
      </c>
      <c r="AP271" s="256">
        <f t="shared" si="147"/>
        <v>0.11849999999999997</v>
      </c>
      <c r="AQ271" s="253">
        <v>42637</v>
      </c>
      <c r="AR271" s="256">
        <f t="shared" si="148"/>
        <v>3.5249999999999997E-2</v>
      </c>
    </row>
    <row r="272" spans="4:44" hidden="1" x14ac:dyDescent="0.2">
      <c r="D272" s="14">
        <v>268</v>
      </c>
      <c r="E272" s="12">
        <v>41542</v>
      </c>
      <c r="F272" s="15">
        <f t="shared" si="150"/>
        <v>5.1749999999999997E-2</v>
      </c>
      <c r="H272" s="14">
        <v>268</v>
      </c>
      <c r="I272" s="12">
        <v>41907</v>
      </c>
      <c r="J272" s="15">
        <f t="shared" si="151"/>
        <v>4.8749999999999995E-2</v>
      </c>
      <c r="K272" s="4"/>
      <c r="L272" s="14">
        <v>268</v>
      </c>
      <c r="M272" s="12">
        <v>42272</v>
      </c>
      <c r="N272" s="15">
        <f t="shared" si="153"/>
        <v>4.1250000000000009E-2</v>
      </c>
      <c r="O272" s="141"/>
      <c r="P272" s="14">
        <v>268</v>
      </c>
      <c r="Q272" s="12">
        <v>41907</v>
      </c>
      <c r="R272" s="15">
        <f t="shared" si="152"/>
        <v>3.8250000000000006E-2</v>
      </c>
      <c r="S272" s="4"/>
      <c r="T272" s="14">
        <v>268</v>
      </c>
      <c r="U272" s="12">
        <v>42272</v>
      </c>
      <c r="V272" s="15">
        <f t="shared" si="154"/>
        <v>3.8250000000000006E-2</v>
      </c>
      <c r="AA272" s="14">
        <v>268</v>
      </c>
      <c r="AB272" s="12">
        <v>41176</v>
      </c>
      <c r="AC272" s="15">
        <f t="shared" si="155"/>
        <v>5.4749999999999993E-2</v>
      </c>
      <c r="AI272" s="255">
        <v>268</v>
      </c>
      <c r="AJ272" s="253">
        <v>42272</v>
      </c>
      <c r="AK272" s="256">
        <f t="shared" si="149"/>
        <v>6.6750000000000004E-2</v>
      </c>
      <c r="AL272" s="253">
        <v>42638</v>
      </c>
      <c r="AM272" s="256">
        <f t="shared" si="146"/>
        <v>3.8250000000000006E-2</v>
      </c>
      <c r="AO272" s="253">
        <v>42272</v>
      </c>
      <c r="AP272" s="256">
        <f t="shared" si="147"/>
        <v>0.11849999999999997</v>
      </c>
      <c r="AQ272" s="253">
        <v>42638</v>
      </c>
      <c r="AR272" s="256">
        <f t="shared" si="148"/>
        <v>3.5249999999999997E-2</v>
      </c>
    </row>
    <row r="273" spans="4:44" hidden="1" x14ac:dyDescent="0.2">
      <c r="D273" s="14">
        <v>269</v>
      </c>
      <c r="E273" s="12">
        <v>41543</v>
      </c>
      <c r="F273" s="15">
        <f t="shared" si="150"/>
        <v>5.1749999999999997E-2</v>
      </c>
      <c r="H273" s="14">
        <v>269</v>
      </c>
      <c r="I273" s="12">
        <v>41908</v>
      </c>
      <c r="J273" s="15">
        <f t="shared" si="151"/>
        <v>4.8749999999999995E-2</v>
      </c>
      <c r="K273" s="4"/>
      <c r="L273" s="14">
        <v>269</v>
      </c>
      <c r="M273" s="12">
        <v>42273</v>
      </c>
      <c r="N273" s="15">
        <f t="shared" si="153"/>
        <v>4.1250000000000009E-2</v>
      </c>
      <c r="O273" s="141"/>
      <c r="P273" s="14">
        <v>269</v>
      </c>
      <c r="Q273" s="12">
        <v>41908</v>
      </c>
      <c r="R273" s="15">
        <f t="shared" si="152"/>
        <v>3.8250000000000006E-2</v>
      </c>
      <c r="S273" s="4"/>
      <c r="T273" s="14">
        <v>269</v>
      </c>
      <c r="U273" s="12">
        <v>42273</v>
      </c>
      <c r="V273" s="15">
        <f t="shared" si="154"/>
        <v>3.8250000000000006E-2</v>
      </c>
      <c r="AA273" s="14">
        <v>269</v>
      </c>
      <c r="AB273" s="12">
        <v>41177</v>
      </c>
      <c r="AC273" s="15">
        <f t="shared" si="155"/>
        <v>5.4749999999999993E-2</v>
      </c>
      <c r="AI273" s="255">
        <v>269</v>
      </c>
      <c r="AJ273" s="253">
        <v>42273</v>
      </c>
      <c r="AK273" s="256">
        <f t="shared" si="149"/>
        <v>6.6750000000000004E-2</v>
      </c>
      <c r="AL273" s="253">
        <v>42639</v>
      </c>
      <c r="AM273" s="256">
        <f t="shared" si="146"/>
        <v>3.8250000000000006E-2</v>
      </c>
      <c r="AO273" s="253">
        <v>42273</v>
      </c>
      <c r="AP273" s="256">
        <f t="shared" si="147"/>
        <v>0.11849999999999997</v>
      </c>
      <c r="AQ273" s="253">
        <v>42639</v>
      </c>
      <c r="AR273" s="256">
        <f t="shared" si="148"/>
        <v>3.5249999999999997E-2</v>
      </c>
    </row>
    <row r="274" spans="4:44" hidden="1" x14ac:dyDescent="0.2">
      <c r="D274" s="14">
        <v>270</v>
      </c>
      <c r="E274" s="12">
        <v>41544</v>
      </c>
      <c r="F274" s="15">
        <f t="shared" si="150"/>
        <v>5.1749999999999997E-2</v>
      </c>
      <c r="H274" s="14">
        <v>270</v>
      </c>
      <c r="I274" s="12">
        <v>41909</v>
      </c>
      <c r="J274" s="15">
        <f t="shared" si="151"/>
        <v>4.8749999999999995E-2</v>
      </c>
      <c r="K274" s="4"/>
      <c r="L274" s="14">
        <v>270</v>
      </c>
      <c r="M274" s="12">
        <v>42274</v>
      </c>
      <c r="N274" s="15">
        <f t="shared" si="153"/>
        <v>4.1250000000000009E-2</v>
      </c>
      <c r="O274" s="141"/>
      <c r="P274" s="14">
        <v>270</v>
      </c>
      <c r="Q274" s="12">
        <v>41909</v>
      </c>
      <c r="R274" s="15">
        <f t="shared" si="152"/>
        <v>3.8250000000000006E-2</v>
      </c>
      <c r="S274" s="4"/>
      <c r="T274" s="14">
        <v>270</v>
      </c>
      <c r="U274" s="12">
        <v>42274</v>
      </c>
      <c r="V274" s="15">
        <f t="shared" si="154"/>
        <v>3.8250000000000006E-2</v>
      </c>
      <c r="AA274" s="14">
        <v>270</v>
      </c>
      <c r="AB274" s="12">
        <v>41178</v>
      </c>
      <c r="AC274" s="15">
        <f t="shared" si="155"/>
        <v>5.4749999999999993E-2</v>
      </c>
      <c r="AI274" s="255">
        <v>270</v>
      </c>
      <c r="AJ274" s="253">
        <v>42274</v>
      </c>
      <c r="AK274" s="256">
        <f t="shared" si="149"/>
        <v>6.6750000000000004E-2</v>
      </c>
      <c r="AL274" s="253">
        <v>42640</v>
      </c>
      <c r="AM274" s="256">
        <f t="shared" si="146"/>
        <v>3.8250000000000006E-2</v>
      </c>
      <c r="AO274" s="253">
        <v>42274</v>
      </c>
      <c r="AP274" s="256">
        <f t="shared" si="147"/>
        <v>0.11849999999999997</v>
      </c>
      <c r="AQ274" s="253">
        <v>42640</v>
      </c>
      <c r="AR274" s="256">
        <f t="shared" si="148"/>
        <v>3.5249999999999997E-2</v>
      </c>
    </row>
    <row r="275" spans="4:44" hidden="1" x14ac:dyDescent="0.2">
      <c r="D275" s="14">
        <v>271</v>
      </c>
      <c r="E275" s="12">
        <v>41545</v>
      </c>
      <c r="F275" s="15">
        <f t="shared" si="150"/>
        <v>5.1749999999999997E-2</v>
      </c>
      <c r="H275" s="14">
        <v>271</v>
      </c>
      <c r="I275" s="12">
        <v>41910</v>
      </c>
      <c r="J275" s="15">
        <f t="shared" si="151"/>
        <v>4.8749999999999995E-2</v>
      </c>
      <c r="K275" s="4"/>
      <c r="L275" s="14">
        <v>271</v>
      </c>
      <c r="M275" s="12">
        <v>42275</v>
      </c>
      <c r="N275" s="15">
        <f t="shared" si="153"/>
        <v>4.1250000000000009E-2</v>
      </c>
      <c r="O275" s="141"/>
      <c r="P275" s="14">
        <v>271</v>
      </c>
      <c r="Q275" s="12">
        <v>41910</v>
      </c>
      <c r="R275" s="15">
        <f t="shared" si="152"/>
        <v>3.8250000000000006E-2</v>
      </c>
      <c r="S275" s="4"/>
      <c r="T275" s="14">
        <v>271</v>
      </c>
      <c r="U275" s="12">
        <v>42275</v>
      </c>
      <c r="V275" s="15">
        <f t="shared" si="154"/>
        <v>3.8250000000000006E-2</v>
      </c>
      <c r="AA275" s="14">
        <v>271</v>
      </c>
      <c r="AB275" s="12">
        <v>41179</v>
      </c>
      <c r="AC275" s="15">
        <f t="shared" si="155"/>
        <v>5.4749999999999993E-2</v>
      </c>
      <c r="AI275" s="255">
        <v>271</v>
      </c>
      <c r="AJ275" s="253">
        <v>42275</v>
      </c>
      <c r="AK275" s="256">
        <f t="shared" si="149"/>
        <v>6.6750000000000004E-2</v>
      </c>
      <c r="AL275" s="253">
        <v>42641</v>
      </c>
      <c r="AM275" s="256">
        <f t="shared" si="146"/>
        <v>3.8250000000000006E-2</v>
      </c>
      <c r="AO275" s="253">
        <v>42275</v>
      </c>
      <c r="AP275" s="256">
        <f t="shared" si="147"/>
        <v>0.11849999999999997</v>
      </c>
      <c r="AQ275" s="253">
        <v>42641</v>
      </c>
      <c r="AR275" s="256">
        <f t="shared" si="148"/>
        <v>3.5249999999999997E-2</v>
      </c>
    </row>
    <row r="276" spans="4:44" hidden="1" x14ac:dyDescent="0.2">
      <c r="D276" s="14">
        <v>272</v>
      </c>
      <c r="E276" s="12">
        <v>41546</v>
      </c>
      <c r="F276" s="15">
        <f t="shared" si="150"/>
        <v>5.1749999999999997E-2</v>
      </c>
      <c r="H276" s="14">
        <v>272</v>
      </c>
      <c r="I276" s="12">
        <v>41911</v>
      </c>
      <c r="J276" s="15">
        <f t="shared" si="151"/>
        <v>4.8749999999999995E-2</v>
      </c>
      <c r="K276" s="4"/>
      <c r="L276" s="14">
        <v>272</v>
      </c>
      <c r="M276" s="12">
        <v>42276</v>
      </c>
      <c r="N276" s="15">
        <f t="shared" si="153"/>
        <v>4.1250000000000009E-2</v>
      </c>
      <c r="O276" s="141"/>
      <c r="P276" s="14">
        <v>272</v>
      </c>
      <c r="Q276" s="12">
        <v>41911</v>
      </c>
      <c r="R276" s="15">
        <f t="shared" si="152"/>
        <v>3.8250000000000006E-2</v>
      </c>
      <c r="S276" s="4"/>
      <c r="T276" s="14">
        <v>272</v>
      </c>
      <c r="U276" s="12">
        <v>42276</v>
      </c>
      <c r="V276" s="15">
        <f t="shared" si="154"/>
        <v>3.8250000000000006E-2</v>
      </c>
      <c r="AA276" s="14">
        <v>272</v>
      </c>
      <c r="AB276" s="12">
        <v>41180</v>
      </c>
      <c r="AC276" s="15">
        <f t="shared" si="155"/>
        <v>5.4749999999999993E-2</v>
      </c>
      <c r="AI276" s="255">
        <v>272</v>
      </c>
      <c r="AJ276" s="253">
        <v>42276</v>
      </c>
      <c r="AK276" s="256">
        <f t="shared" si="149"/>
        <v>6.6750000000000004E-2</v>
      </c>
      <c r="AL276" s="253">
        <v>42642</v>
      </c>
      <c r="AM276" s="256">
        <f t="shared" si="146"/>
        <v>3.8250000000000006E-2</v>
      </c>
      <c r="AO276" s="253">
        <v>42276</v>
      </c>
      <c r="AP276" s="256">
        <f t="shared" si="147"/>
        <v>0.11849999999999997</v>
      </c>
      <c r="AQ276" s="253">
        <v>42642</v>
      </c>
      <c r="AR276" s="256">
        <f t="shared" si="148"/>
        <v>3.5249999999999997E-2</v>
      </c>
    </row>
    <row r="277" spans="4:44" hidden="1" x14ac:dyDescent="0.2">
      <c r="D277" s="14">
        <v>273</v>
      </c>
      <c r="E277" s="12">
        <v>41547</v>
      </c>
      <c r="F277" s="15">
        <f t="shared" si="150"/>
        <v>5.1749999999999997E-2</v>
      </c>
      <c r="H277" s="14">
        <v>273</v>
      </c>
      <c r="I277" s="12">
        <v>41912</v>
      </c>
      <c r="J277" s="15">
        <f t="shared" si="151"/>
        <v>4.8749999999999995E-2</v>
      </c>
      <c r="K277" s="4"/>
      <c r="L277" s="14">
        <v>273</v>
      </c>
      <c r="M277" s="12">
        <v>42277</v>
      </c>
      <c r="N277" s="15">
        <f t="shared" si="153"/>
        <v>4.1250000000000009E-2</v>
      </c>
      <c r="O277" s="141"/>
      <c r="P277" s="14">
        <v>273</v>
      </c>
      <c r="Q277" s="12">
        <v>41912</v>
      </c>
      <c r="R277" s="15">
        <f t="shared" si="152"/>
        <v>3.8250000000000006E-2</v>
      </c>
      <c r="S277" s="4"/>
      <c r="T277" s="14">
        <v>273</v>
      </c>
      <c r="U277" s="12">
        <v>42277</v>
      </c>
      <c r="V277" s="15">
        <f t="shared" si="154"/>
        <v>3.8250000000000006E-2</v>
      </c>
      <c r="AA277" s="14">
        <v>273</v>
      </c>
      <c r="AB277" s="12">
        <v>41181</v>
      </c>
      <c r="AC277" s="15">
        <f t="shared" si="155"/>
        <v>5.4749999999999993E-2</v>
      </c>
      <c r="AI277" s="255">
        <v>273</v>
      </c>
      <c r="AJ277" s="253">
        <v>42277</v>
      </c>
      <c r="AK277" s="256">
        <f t="shared" si="149"/>
        <v>6.6750000000000004E-2</v>
      </c>
      <c r="AL277" s="253">
        <v>42643</v>
      </c>
      <c r="AM277" s="256">
        <f t="shared" si="146"/>
        <v>3.8250000000000006E-2</v>
      </c>
      <c r="AO277" s="253">
        <v>42277</v>
      </c>
      <c r="AP277" s="256">
        <f t="shared" si="147"/>
        <v>0.11849999999999997</v>
      </c>
      <c r="AQ277" s="253">
        <v>42643</v>
      </c>
      <c r="AR277" s="256">
        <f t="shared" si="148"/>
        <v>3.5249999999999997E-2</v>
      </c>
    </row>
    <row r="278" spans="4:44" hidden="1" x14ac:dyDescent="0.2">
      <c r="D278" s="14">
        <v>274</v>
      </c>
      <c r="E278" s="12">
        <v>41548</v>
      </c>
      <c r="F278" s="50">
        <f t="shared" ref="F278:F297" si="156">F$249+F$4/D$4/100</f>
        <v>5.4625E-2</v>
      </c>
      <c r="H278" s="14">
        <v>274</v>
      </c>
      <c r="I278" s="12">
        <v>41913</v>
      </c>
      <c r="J278" s="50">
        <f t="shared" ref="J278:J297" si="157">J$249+J$4/H$4/100</f>
        <v>5.1458333333333328E-2</v>
      </c>
      <c r="K278" s="4"/>
      <c r="L278" s="14">
        <v>274</v>
      </c>
      <c r="M278" s="12">
        <v>42278</v>
      </c>
      <c r="N278" s="50">
        <f>N$249+N$4/L$4/100</f>
        <v>4.354166666666668E-2</v>
      </c>
      <c r="O278" s="141"/>
      <c r="P278" s="14">
        <v>274</v>
      </c>
      <c r="Q278" s="12">
        <v>41913</v>
      </c>
      <c r="R278" s="50">
        <f t="shared" ref="R278:R297" si="158">R$249+R$4/P$4/100</f>
        <v>4.0375000000000008E-2</v>
      </c>
      <c r="S278" s="4"/>
      <c r="T278" s="14">
        <v>274</v>
      </c>
      <c r="U278" s="12">
        <v>42278</v>
      </c>
      <c r="V278" s="50">
        <f>V$249+V$4/T$4/100</f>
        <v>4.0375000000000008E-2</v>
      </c>
      <c r="AA278" s="51">
        <v>274</v>
      </c>
      <c r="AB278" s="12">
        <v>41182</v>
      </c>
      <c r="AC278" s="15">
        <f t="shared" si="155"/>
        <v>5.4749999999999993E-2</v>
      </c>
      <c r="AI278" s="255">
        <v>274</v>
      </c>
      <c r="AJ278" s="258">
        <v>42278</v>
      </c>
      <c r="AK278" s="256">
        <f t="shared" si="149"/>
        <v>6.6750000000000004E-2</v>
      </c>
      <c r="AL278" s="253">
        <v>42644</v>
      </c>
      <c r="AM278" s="256">
        <f t="shared" si="146"/>
        <v>3.8250000000000006E-2</v>
      </c>
      <c r="AO278" s="258">
        <v>42278</v>
      </c>
      <c r="AP278" s="256">
        <f t="shared" si="147"/>
        <v>0.11849999999999997</v>
      </c>
      <c r="AQ278" s="253">
        <v>42644</v>
      </c>
      <c r="AR278" s="256">
        <f t="shared" si="148"/>
        <v>3.5249999999999997E-2</v>
      </c>
    </row>
    <row r="279" spans="4:44" hidden="1" x14ac:dyDescent="0.2">
      <c r="D279" s="14">
        <v>275</v>
      </c>
      <c r="E279" s="12">
        <v>41549</v>
      </c>
      <c r="F279" s="15">
        <f t="shared" si="156"/>
        <v>5.4625E-2</v>
      </c>
      <c r="H279" s="14">
        <v>275</v>
      </c>
      <c r="I279" s="12">
        <v>41914</v>
      </c>
      <c r="J279" s="15">
        <f t="shared" si="157"/>
        <v>5.1458333333333328E-2</v>
      </c>
      <c r="K279" s="4"/>
      <c r="L279" s="14">
        <v>275</v>
      </c>
      <c r="M279" s="12">
        <v>42279</v>
      </c>
      <c r="N279" s="15">
        <f t="shared" ref="N279:N297" si="159">N$249+N$4/L$4/100</f>
        <v>4.354166666666668E-2</v>
      </c>
      <c r="O279" s="141"/>
      <c r="P279" s="14">
        <v>275</v>
      </c>
      <c r="Q279" s="12">
        <v>41914</v>
      </c>
      <c r="R279" s="15">
        <f t="shared" si="158"/>
        <v>4.0375000000000008E-2</v>
      </c>
      <c r="S279" s="4"/>
      <c r="T279" s="14">
        <v>275</v>
      </c>
      <c r="U279" s="12">
        <v>42279</v>
      </c>
      <c r="V279" s="15">
        <f t="shared" ref="V279:V297" si="160">V$249+V$4/T$4/100</f>
        <v>4.0375000000000008E-2</v>
      </c>
      <c r="AA279" s="51">
        <v>275</v>
      </c>
      <c r="AB279" s="49">
        <v>41183</v>
      </c>
      <c r="AC279" s="50">
        <f t="shared" ref="AC279:AC297" si="161">AC$249+AC$4/AA$4/100</f>
        <v>5.7791666666666658E-2</v>
      </c>
      <c r="AI279" s="255">
        <v>275</v>
      </c>
      <c r="AJ279" s="253">
        <v>42279</v>
      </c>
      <c r="AK279" s="256">
        <f t="shared" si="149"/>
        <v>6.6750000000000004E-2</v>
      </c>
      <c r="AL279" s="253">
        <v>42645</v>
      </c>
      <c r="AM279" s="256">
        <f t="shared" si="146"/>
        <v>3.8250000000000006E-2</v>
      </c>
      <c r="AO279" s="253">
        <v>42279</v>
      </c>
      <c r="AP279" s="256">
        <f t="shared" si="147"/>
        <v>0.11849999999999997</v>
      </c>
      <c r="AQ279" s="253">
        <v>42645</v>
      </c>
      <c r="AR279" s="256">
        <f t="shared" si="148"/>
        <v>3.5249999999999997E-2</v>
      </c>
    </row>
    <row r="280" spans="4:44" hidden="1" x14ac:dyDescent="0.2">
      <c r="D280" s="14">
        <v>276</v>
      </c>
      <c r="E280" s="12">
        <v>41550</v>
      </c>
      <c r="F280" s="15">
        <f t="shared" si="156"/>
        <v>5.4625E-2</v>
      </c>
      <c r="H280" s="14">
        <v>276</v>
      </c>
      <c r="I280" s="12">
        <v>41915</v>
      </c>
      <c r="J280" s="15">
        <f t="shared" si="157"/>
        <v>5.1458333333333328E-2</v>
      </c>
      <c r="K280" s="4"/>
      <c r="L280" s="14">
        <v>276</v>
      </c>
      <c r="M280" s="12">
        <v>42280</v>
      </c>
      <c r="N280" s="15">
        <f t="shared" si="159"/>
        <v>4.354166666666668E-2</v>
      </c>
      <c r="O280" s="141"/>
      <c r="P280" s="14">
        <v>276</v>
      </c>
      <c r="Q280" s="12">
        <v>41915</v>
      </c>
      <c r="R280" s="15">
        <f t="shared" si="158"/>
        <v>4.0375000000000008E-2</v>
      </c>
      <c r="S280" s="4"/>
      <c r="T280" s="14">
        <v>276</v>
      </c>
      <c r="U280" s="12">
        <v>42280</v>
      </c>
      <c r="V280" s="15">
        <f t="shared" si="160"/>
        <v>4.0375000000000008E-2</v>
      </c>
      <c r="AA280" s="14">
        <v>276</v>
      </c>
      <c r="AB280" s="12">
        <v>41184</v>
      </c>
      <c r="AC280" s="15">
        <f t="shared" si="161"/>
        <v>5.7791666666666658E-2</v>
      </c>
      <c r="AI280" s="255">
        <v>276</v>
      </c>
      <c r="AJ280" s="253">
        <v>42280</v>
      </c>
      <c r="AK280" s="256">
        <f t="shared" si="149"/>
        <v>6.6750000000000004E-2</v>
      </c>
      <c r="AL280" s="253">
        <v>42646</v>
      </c>
      <c r="AM280" s="256">
        <f t="shared" si="146"/>
        <v>3.8250000000000006E-2</v>
      </c>
      <c r="AO280" s="253">
        <v>42280</v>
      </c>
      <c r="AP280" s="256">
        <f t="shared" si="147"/>
        <v>0.11849999999999997</v>
      </c>
      <c r="AQ280" s="253">
        <v>42646</v>
      </c>
      <c r="AR280" s="256">
        <f t="shared" si="148"/>
        <v>3.5249999999999997E-2</v>
      </c>
    </row>
    <row r="281" spans="4:44" hidden="1" x14ac:dyDescent="0.2">
      <c r="D281" s="14">
        <v>277</v>
      </c>
      <c r="E281" s="12">
        <v>41551</v>
      </c>
      <c r="F281" s="15">
        <f t="shared" si="156"/>
        <v>5.4625E-2</v>
      </c>
      <c r="H281" s="14">
        <v>277</v>
      </c>
      <c r="I281" s="12">
        <v>41916</v>
      </c>
      <c r="J281" s="15">
        <f t="shared" si="157"/>
        <v>5.1458333333333328E-2</v>
      </c>
      <c r="K281" s="4"/>
      <c r="L281" s="14">
        <v>277</v>
      </c>
      <c r="M281" s="12">
        <v>42281</v>
      </c>
      <c r="N281" s="15">
        <f t="shared" si="159"/>
        <v>4.354166666666668E-2</v>
      </c>
      <c r="O281" s="141"/>
      <c r="P281" s="14">
        <v>277</v>
      </c>
      <c r="Q281" s="12">
        <v>41916</v>
      </c>
      <c r="R281" s="15">
        <f t="shared" si="158"/>
        <v>4.0375000000000008E-2</v>
      </c>
      <c r="S281" s="4"/>
      <c r="T281" s="14">
        <v>277</v>
      </c>
      <c r="U281" s="12">
        <v>42281</v>
      </c>
      <c r="V281" s="15">
        <f t="shared" si="160"/>
        <v>4.0375000000000008E-2</v>
      </c>
      <c r="AA281" s="14">
        <v>277</v>
      </c>
      <c r="AB281" s="12">
        <v>41185</v>
      </c>
      <c r="AC281" s="15">
        <f t="shared" si="161"/>
        <v>5.7791666666666658E-2</v>
      </c>
      <c r="AI281" s="255">
        <v>277</v>
      </c>
      <c r="AJ281" s="253">
        <v>42281</v>
      </c>
      <c r="AK281" s="256">
        <f t="shared" si="149"/>
        <v>6.6750000000000004E-2</v>
      </c>
      <c r="AL281" s="253">
        <v>42647</v>
      </c>
      <c r="AM281" s="256">
        <f t="shared" si="146"/>
        <v>3.8250000000000006E-2</v>
      </c>
      <c r="AO281" s="253">
        <v>42281</v>
      </c>
      <c r="AP281" s="256">
        <f t="shared" si="147"/>
        <v>0.11849999999999997</v>
      </c>
      <c r="AQ281" s="253">
        <v>42647</v>
      </c>
      <c r="AR281" s="256">
        <f t="shared" si="148"/>
        <v>3.5249999999999997E-2</v>
      </c>
    </row>
    <row r="282" spans="4:44" hidden="1" x14ac:dyDescent="0.2">
      <c r="D282" s="14">
        <v>278</v>
      </c>
      <c r="E282" s="12">
        <v>41552</v>
      </c>
      <c r="F282" s="15">
        <f t="shared" si="156"/>
        <v>5.4625E-2</v>
      </c>
      <c r="H282" s="14">
        <v>278</v>
      </c>
      <c r="I282" s="12">
        <v>41917</v>
      </c>
      <c r="J282" s="15">
        <f t="shared" si="157"/>
        <v>5.1458333333333328E-2</v>
      </c>
      <c r="K282" s="4"/>
      <c r="L282" s="14">
        <v>278</v>
      </c>
      <c r="M282" s="12">
        <v>42282</v>
      </c>
      <c r="N282" s="15">
        <f t="shared" si="159"/>
        <v>4.354166666666668E-2</v>
      </c>
      <c r="O282" s="141"/>
      <c r="P282" s="14">
        <v>278</v>
      </c>
      <c r="Q282" s="12">
        <v>41917</v>
      </c>
      <c r="R282" s="15">
        <f t="shared" si="158"/>
        <v>4.0375000000000008E-2</v>
      </c>
      <c r="S282" s="4"/>
      <c r="T282" s="14">
        <v>278</v>
      </c>
      <c r="U282" s="12">
        <v>42282</v>
      </c>
      <c r="V282" s="15">
        <f t="shared" si="160"/>
        <v>4.0375000000000008E-2</v>
      </c>
      <c r="AA282" s="14">
        <v>278</v>
      </c>
      <c r="AB282" s="12">
        <v>41186</v>
      </c>
      <c r="AC282" s="15">
        <f t="shared" si="161"/>
        <v>5.7791666666666658E-2</v>
      </c>
      <c r="AI282" s="255">
        <v>278</v>
      </c>
      <c r="AJ282" s="253">
        <v>42282</v>
      </c>
      <c r="AK282" s="256">
        <f t="shared" si="149"/>
        <v>6.6750000000000004E-2</v>
      </c>
      <c r="AL282" s="253">
        <v>42648</v>
      </c>
      <c r="AM282" s="256">
        <f t="shared" si="146"/>
        <v>3.8250000000000006E-2</v>
      </c>
      <c r="AO282" s="253">
        <v>42282</v>
      </c>
      <c r="AP282" s="256">
        <f t="shared" si="147"/>
        <v>0.11849999999999997</v>
      </c>
      <c r="AQ282" s="253">
        <v>42648</v>
      </c>
      <c r="AR282" s="256">
        <f t="shared" si="148"/>
        <v>3.5249999999999997E-2</v>
      </c>
    </row>
    <row r="283" spans="4:44" hidden="1" x14ac:dyDescent="0.2">
      <c r="D283" s="14">
        <v>279</v>
      </c>
      <c r="E283" s="12">
        <v>41553</v>
      </c>
      <c r="F283" s="15">
        <f t="shared" si="156"/>
        <v>5.4625E-2</v>
      </c>
      <c r="H283" s="14">
        <v>279</v>
      </c>
      <c r="I283" s="12">
        <v>41918</v>
      </c>
      <c r="J283" s="15">
        <f t="shared" si="157"/>
        <v>5.1458333333333328E-2</v>
      </c>
      <c r="K283" s="4"/>
      <c r="L283" s="14">
        <v>279</v>
      </c>
      <c r="M283" s="12">
        <v>42283</v>
      </c>
      <c r="N283" s="15">
        <f t="shared" si="159"/>
        <v>4.354166666666668E-2</v>
      </c>
      <c r="O283" s="141"/>
      <c r="P283" s="14">
        <v>279</v>
      </c>
      <c r="Q283" s="12">
        <v>41918</v>
      </c>
      <c r="R283" s="15">
        <f t="shared" si="158"/>
        <v>4.0375000000000008E-2</v>
      </c>
      <c r="S283" s="4"/>
      <c r="T283" s="14">
        <v>279</v>
      </c>
      <c r="U283" s="12">
        <v>42283</v>
      </c>
      <c r="V283" s="15">
        <f t="shared" si="160"/>
        <v>4.0375000000000008E-2</v>
      </c>
      <c r="AA283" s="14">
        <v>279</v>
      </c>
      <c r="AB283" s="12">
        <v>41187</v>
      </c>
      <c r="AC283" s="15">
        <f t="shared" si="161"/>
        <v>5.7791666666666658E-2</v>
      </c>
      <c r="AI283" s="255">
        <v>279</v>
      </c>
      <c r="AJ283" s="253">
        <v>42283</v>
      </c>
      <c r="AK283" s="259">
        <f>AK$282+AK$4/AI$4/100</f>
        <v>7.4166666666666672E-2</v>
      </c>
      <c r="AL283" s="253">
        <v>42649</v>
      </c>
      <c r="AM283" s="259">
        <f t="shared" ref="AM283:AM313" si="162">AM$282+AM$4/AI$4/100</f>
        <v>4.250000000000001E-2</v>
      </c>
      <c r="AO283" s="253">
        <v>42283</v>
      </c>
      <c r="AP283" s="259">
        <f t="shared" ref="AP283:AP313" si="163">AP$282+AP$4/$AI$4/100</f>
        <v>0.13166666666666663</v>
      </c>
      <c r="AQ283" s="253">
        <v>42649</v>
      </c>
      <c r="AR283" s="259">
        <f t="shared" ref="AR283:AR313" si="164">AR$282+AR$4/$AI$4/100</f>
        <v>3.9166666666666662E-2</v>
      </c>
    </row>
    <row r="284" spans="4:44" hidden="1" x14ac:dyDescent="0.2">
      <c r="D284" s="14">
        <v>280</v>
      </c>
      <c r="E284" s="12">
        <v>41554</v>
      </c>
      <c r="F284" s="15">
        <f t="shared" si="156"/>
        <v>5.4625E-2</v>
      </c>
      <c r="H284" s="14">
        <v>280</v>
      </c>
      <c r="I284" s="12">
        <v>41919</v>
      </c>
      <c r="J284" s="15">
        <f t="shared" si="157"/>
        <v>5.1458333333333328E-2</v>
      </c>
      <c r="K284" s="4"/>
      <c r="L284" s="14">
        <v>280</v>
      </c>
      <c r="M284" s="12">
        <v>42284</v>
      </c>
      <c r="N284" s="15">
        <f t="shared" si="159"/>
        <v>4.354166666666668E-2</v>
      </c>
      <c r="O284" s="141"/>
      <c r="P284" s="14">
        <v>280</v>
      </c>
      <c r="Q284" s="12">
        <v>41919</v>
      </c>
      <c r="R284" s="15">
        <f t="shared" si="158"/>
        <v>4.0375000000000008E-2</v>
      </c>
      <c r="S284" s="4"/>
      <c r="T284" s="14">
        <v>280</v>
      </c>
      <c r="U284" s="12">
        <v>42284</v>
      </c>
      <c r="V284" s="15">
        <f t="shared" si="160"/>
        <v>4.0375000000000008E-2</v>
      </c>
      <c r="AA284" s="14">
        <v>280</v>
      </c>
      <c r="AB284" s="12">
        <v>41188</v>
      </c>
      <c r="AC284" s="15">
        <f t="shared" si="161"/>
        <v>5.7791666666666658E-2</v>
      </c>
      <c r="AI284" s="255">
        <v>280</v>
      </c>
      <c r="AJ284" s="253">
        <v>42284</v>
      </c>
      <c r="AK284" s="256">
        <f t="shared" ref="AK284:AK313" si="165">AK$282+AK$4/AI$4/100</f>
        <v>7.4166666666666672E-2</v>
      </c>
      <c r="AL284" s="253">
        <v>42650</v>
      </c>
      <c r="AM284" s="256">
        <f t="shared" si="162"/>
        <v>4.250000000000001E-2</v>
      </c>
      <c r="AO284" s="253">
        <v>42284</v>
      </c>
      <c r="AP284" s="256">
        <f t="shared" si="163"/>
        <v>0.13166666666666663</v>
      </c>
      <c r="AQ284" s="253">
        <v>42650</v>
      </c>
      <c r="AR284" s="256">
        <f t="shared" si="164"/>
        <v>3.9166666666666662E-2</v>
      </c>
    </row>
    <row r="285" spans="4:44" hidden="1" x14ac:dyDescent="0.2">
      <c r="D285" s="14">
        <v>281</v>
      </c>
      <c r="E285" s="12">
        <v>41555</v>
      </c>
      <c r="F285" s="15">
        <f t="shared" si="156"/>
        <v>5.4625E-2</v>
      </c>
      <c r="H285" s="14">
        <v>281</v>
      </c>
      <c r="I285" s="12">
        <v>41920</v>
      </c>
      <c r="J285" s="15">
        <f t="shared" si="157"/>
        <v>5.1458333333333328E-2</v>
      </c>
      <c r="K285" s="4"/>
      <c r="L285" s="14">
        <v>281</v>
      </c>
      <c r="M285" s="12">
        <v>42285</v>
      </c>
      <c r="N285" s="15">
        <f t="shared" si="159"/>
        <v>4.354166666666668E-2</v>
      </c>
      <c r="O285" s="141"/>
      <c r="P285" s="14">
        <v>281</v>
      </c>
      <c r="Q285" s="12">
        <v>41920</v>
      </c>
      <c r="R285" s="15">
        <f t="shared" si="158"/>
        <v>4.0375000000000008E-2</v>
      </c>
      <c r="S285" s="4"/>
      <c r="T285" s="14">
        <v>281</v>
      </c>
      <c r="U285" s="12">
        <v>42285</v>
      </c>
      <c r="V285" s="15">
        <f t="shared" si="160"/>
        <v>4.0375000000000008E-2</v>
      </c>
      <c r="AA285" s="14">
        <v>281</v>
      </c>
      <c r="AB285" s="12">
        <v>41189</v>
      </c>
      <c r="AC285" s="15">
        <f t="shared" si="161"/>
        <v>5.7791666666666658E-2</v>
      </c>
      <c r="AI285" s="255">
        <v>281</v>
      </c>
      <c r="AJ285" s="253">
        <v>42285</v>
      </c>
      <c r="AK285" s="256">
        <f t="shared" si="165"/>
        <v>7.4166666666666672E-2</v>
      </c>
      <c r="AL285" s="253">
        <v>42651</v>
      </c>
      <c r="AM285" s="256">
        <f t="shared" si="162"/>
        <v>4.250000000000001E-2</v>
      </c>
      <c r="AO285" s="253">
        <v>42285</v>
      </c>
      <c r="AP285" s="256">
        <f t="shared" si="163"/>
        <v>0.13166666666666663</v>
      </c>
      <c r="AQ285" s="253">
        <v>42651</v>
      </c>
      <c r="AR285" s="256">
        <f t="shared" si="164"/>
        <v>3.9166666666666662E-2</v>
      </c>
    </row>
    <row r="286" spans="4:44" hidden="1" x14ac:dyDescent="0.2">
      <c r="D286" s="14">
        <v>282</v>
      </c>
      <c r="E286" s="12">
        <v>41556</v>
      </c>
      <c r="F286" s="15">
        <f t="shared" si="156"/>
        <v>5.4625E-2</v>
      </c>
      <c r="H286" s="14">
        <v>282</v>
      </c>
      <c r="I286" s="12">
        <v>41921</v>
      </c>
      <c r="J286" s="15">
        <f t="shared" si="157"/>
        <v>5.1458333333333328E-2</v>
      </c>
      <c r="K286" s="4"/>
      <c r="L286" s="14">
        <v>282</v>
      </c>
      <c r="M286" s="12">
        <v>42286</v>
      </c>
      <c r="N286" s="15">
        <f t="shared" si="159"/>
        <v>4.354166666666668E-2</v>
      </c>
      <c r="O286" s="141"/>
      <c r="P286" s="14">
        <v>282</v>
      </c>
      <c r="Q286" s="12">
        <v>41921</v>
      </c>
      <c r="R286" s="15">
        <f t="shared" si="158"/>
        <v>4.0375000000000008E-2</v>
      </c>
      <c r="S286" s="4"/>
      <c r="T286" s="14">
        <v>282</v>
      </c>
      <c r="U286" s="12">
        <v>42286</v>
      </c>
      <c r="V286" s="15">
        <f t="shared" si="160"/>
        <v>4.0375000000000008E-2</v>
      </c>
      <c r="AA286" s="14">
        <v>282</v>
      </c>
      <c r="AB286" s="12">
        <v>41190</v>
      </c>
      <c r="AC286" s="15">
        <f t="shared" si="161"/>
        <v>5.7791666666666658E-2</v>
      </c>
      <c r="AI286" s="255">
        <v>282</v>
      </c>
      <c r="AJ286" s="253">
        <v>42286</v>
      </c>
      <c r="AK286" s="256">
        <f t="shared" si="165"/>
        <v>7.4166666666666672E-2</v>
      </c>
      <c r="AL286" s="253">
        <v>42652</v>
      </c>
      <c r="AM286" s="256">
        <f t="shared" si="162"/>
        <v>4.250000000000001E-2</v>
      </c>
      <c r="AO286" s="253">
        <v>42286</v>
      </c>
      <c r="AP286" s="256">
        <f t="shared" si="163"/>
        <v>0.13166666666666663</v>
      </c>
      <c r="AQ286" s="253">
        <v>42652</v>
      </c>
      <c r="AR286" s="256">
        <f t="shared" si="164"/>
        <v>3.9166666666666662E-2</v>
      </c>
    </row>
    <row r="287" spans="4:44" hidden="1" x14ac:dyDescent="0.2">
      <c r="D287" s="14">
        <v>283</v>
      </c>
      <c r="E287" s="12">
        <v>41557</v>
      </c>
      <c r="F287" s="15">
        <f t="shared" si="156"/>
        <v>5.4625E-2</v>
      </c>
      <c r="H287" s="14">
        <v>283</v>
      </c>
      <c r="I287" s="12">
        <v>41922</v>
      </c>
      <c r="J287" s="15">
        <f t="shared" si="157"/>
        <v>5.1458333333333328E-2</v>
      </c>
      <c r="K287" s="4"/>
      <c r="L287" s="14">
        <v>283</v>
      </c>
      <c r="M287" s="12">
        <v>42287</v>
      </c>
      <c r="N287" s="15">
        <f t="shared" si="159"/>
        <v>4.354166666666668E-2</v>
      </c>
      <c r="O287" s="141"/>
      <c r="P287" s="14">
        <v>283</v>
      </c>
      <c r="Q287" s="12">
        <v>41922</v>
      </c>
      <c r="R287" s="15">
        <f t="shared" si="158"/>
        <v>4.0375000000000008E-2</v>
      </c>
      <c r="S287" s="4"/>
      <c r="T287" s="14">
        <v>283</v>
      </c>
      <c r="U287" s="12">
        <v>42287</v>
      </c>
      <c r="V287" s="15">
        <f t="shared" si="160"/>
        <v>4.0375000000000008E-2</v>
      </c>
      <c r="AA287" s="14">
        <v>283</v>
      </c>
      <c r="AB287" s="12">
        <v>41191</v>
      </c>
      <c r="AC287" s="15">
        <f t="shared" si="161"/>
        <v>5.7791666666666658E-2</v>
      </c>
      <c r="AI287" s="255">
        <v>283</v>
      </c>
      <c r="AJ287" s="253">
        <v>42287</v>
      </c>
      <c r="AK287" s="256">
        <f t="shared" si="165"/>
        <v>7.4166666666666672E-2</v>
      </c>
      <c r="AL287" s="253">
        <v>42653</v>
      </c>
      <c r="AM287" s="256">
        <f t="shared" si="162"/>
        <v>4.250000000000001E-2</v>
      </c>
      <c r="AO287" s="253">
        <v>42287</v>
      </c>
      <c r="AP287" s="256">
        <f t="shared" si="163"/>
        <v>0.13166666666666663</v>
      </c>
      <c r="AQ287" s="253">
        <v>42653</v>
      </c>
      <c r="AR287" s="256">
        <f t="shared" si="164"/>
        <v>3.9166666666666662E-2</v>
      </c>
    </row>
    <row r="288" spans="4:44" hidden="1" x14ac:dyDescent="0.2">
      <c r="D288" s="14">
        <v>284</v>
      </c>
      <c r="E288" s="12">
        <v>41558</v>
      </c>
      <c r="F288" s="15">
        <f t="shared" si="156"/>
        <v>5.4625E-2</v>
      </c>
      <c r="H288" s="14">
        <v>284</v>
      </c>
      <c r="I288" s="12">
        <v>41923</v>
      </c>
      <c r="J288" s="15">
        <f t="shared" si="157"/>
        <v>5.1458333333333328E-2</v>
      </c>
      <c r="K288" s="4"/>
      <c r="L288" s="14">
        <v>284</v>
      </c>
      <c r="M288" s="12">
        <v>42288</v>
      </c>
      <c r="N288" s="15">
        <f t="shared" si="159"/>
        <v>4.354166666666668E-2</v>
      </c>
      <c r="O288" s="141"/>
      <c r="P288" s="14">
        <v>284</v>
      </c>
      <c r="Q288" s="12">
        <v>41923</v>
      </c>
      <c r="R288" s="15">
        <f t="shared" si="158"/>
        <v>4.0375000000000008E-2</v>
      </c>
      <c r="S288" s="4"/>
      <c r="T288" s="14">
        <v>284</v>
      </c>
      <c r="U288" s="12">
        <v>42288</v>
      </c>
      <c r="V288" s="15">
        <f t="shared" si="160"/>
        <v>4.0375000000000008E-2</v>
      </c>
      <c r="AA288" s="14">
        <v>284</v>
      </c>
      <c r="AB288" s="12">
        <v>41192</v>
      </c>
      <c r="AC288" s="15">
        <f t="shared" si="161"/>
        <v>5.7791666666666658E-2</v>
      </c>
      <c r="AI288" s="255">
        <v>284</v>
      </c>
      <c r="AJ288" s="253">
        <v>42288</v>
      </c>
      <c r="AK288" s="256">
        <f t="shared" si="165"/>
        <v>7.4166666666666672E-2</v>
      </c>
      <c r="AL288" s="253">
        <v>42654</v>
      </c>
      <c r="AM288" s="256">
        <f t="shared" si="162"/>
        <v>4.250000000000001E-2</v>
      </c>
      <c r="AO288" s="253">
        <v>42288</v>
      </c>
      <c r="AP288" s="256">
        <f t="shared" si="163"/>
        <v>0.13166666666666663</v>
      </c>
      <c r="AQ288" s="253">
        <v>42654</v>
      </c>
      <c r="AR288" s="256">
        <f t="shared" si="164"/>
        <v>3.9166666666666662E-2</v>
      </c>
    </row>
    <row r="289" spans="4:44" hidden="1" x14ac:dyDescent="0.2">
      <c r="D289" s="14">
        <v>285</v>
      </c>
      <c r="E289" s="12">
        <v>41559</v>
      </c>
      <c r="F289" s="15">
        <f t="shared" si="156"/>
        <v>5.4625E-2</v>
      </c>
      <c r="H289" s="14">
        <v>285</v>
      </c>
      <c r="I289" s="12">
        <v>41924</v>
      </c>
      <c r="J289" s="15">
        <f t="shared" si="157"/>
        <v>5.1458333333333328E-2</v>
      </c>
      <c r="K289" s="4"/>
      <c r="L289" s="14">
        <v>285</v>
      </c>
      <c r="M289" s="12">
        <v>42289</v>
      </c>
      <c r="N289" s="15">
        <f t="shared" si="159"/>
        <v>4.354166666666668E-2</v>
      </c>
      <c r="O289" s="141"/>
      <c r="P289" s="14">
        <v>285</v>
      </c>
      <c r="Q289" s="12">
        <v>41924</v>
      </c>
      <c r="R289" s="15">
        <f t="shared" si="158"/>
        <v>4.0375000000000008E-2</v>
      </c>
      <c r="S289" s="4"/>
      <c r="T289" s="14">
        <v>285</v>
      </c>
      <c r="U289" s="12">
        <v>42289</v>
      </c>
      <c r="V289" s="15">
        <f t="shared" si="160"/>
        <v>4.0375000000000008E-2</v>
      </c>
      <c r="AA289" s="14">
        <v>285</v>
      </c>
      <c r="AB289" s="12">
        <v>41193</v>
      </c>
      <c r="AC289" s="15">
        <f t="shared" si="161"/>
        <v>5.7791666666666658E-2</v>
      </c>
      <c r="AI289" s="255">
        <v>285</v>
      </c>
      <c r="AJ289" s="253">
        <v>42289</v>
      </c>
      <c r="AK289" s="256">
        <f t="shared" si="165"/>
        <v>7.4166666666666672E-2</v>
      </c>
      <c r="AL289" s="253">
        <v>42655</v>
      </c>
      <c r="AM289" s="256">
        <f t="shared" si="162"/>
        <v>4.250000000000001E-2</v>
      </c>
      <c r="AO289" s="253">
        <v>42289</v>
      </c>
      <c r="AP289" s="256">
        <f t="shared" si="163"/>
        <v>0.13166666666666663</v>
      </c>
      <c r="AQ289" s="253">
        <v>42655</v>
      </c>
      <c r="AR289" s="256">
        <f t="shared" si="164"/>
        <v>3.9166666666666662E-2</v>
      </c>
    </row>
    <row r="290" spans="4:44" hidden="1" x14ac:dyDescent="0.2">
      <c r="D290" s="14">
        <v>286</v>
      </c>
      <c r="E290" s="12">
        <v>41560</v>
      </c>
      <c r="F290" s="15">
        <f t="shared" si="156"/>
        <v>5.4625E-2</v>
      </c>
      <c r="H290" s="14">
        <v>286</v>
      </c>
      <c r="I290" s="12">
        <v>41925</v>
      </c>
      <c r="J290" s="15">
        <f t="shared" si="157"/>
        <v>5.1458333333333328E-2</v>
      </c>
      <c r="K290" s="4"/>
      <c r="L290" s="14">
        <v>286</v>
      </c>
      <c r="M290" s="12">
        <v>42290</v>
      </c>
      <c r="N290" s="15">
        <f t="shared" si="159"/>
        <v>4.354166666666668E-2</v>
      </c>
      <c r="O290" s="141"/>
      <c r="P290" s="14">
        <v>286</v>
      </c>
      <c r="Q290" s="12">
        <v>41925</v>
      </c>
      <c r="R290" s="15">
        <f t="shared" si="158"/>
        <v>4.0375000000000008E-2</v>
      </c>
      <c r="S290" s="4"/>
      <c r="T290" s="14">
        <v>286</v>
      </c>
      <c r="U290" s="12">
        <v>42290</v>
      </c>
      <c r="V290" s="15">
        <f t="shared" si="160"/>
        <v>4.0375000000000008E-2</v>
      </c>
      <c r="AA290" s="14">
        <v>286</v>
      </c>
      <c r="AB290" s="12">
        <v>41194</v>
      </c>
      <c r="AC290" s="15">
        <f t="shared" si="161"/>
        <v>5.7791666666666658E-2</v>
      </c>
      <c r="AI290" s="255">
        <v>286</v>
      </c>
      <c r="AJ290" s="253">
        <v>42290</v>
      </c>
      <c r="AK290" s="256">
        <f t="shared" si="165"/>
        <v>7.4166666666666672E-2</v>
      </c>
      <c r="AL290" s="253">
        <v>42656</v>
      </c>
      <c r="AM290" s="256">
        <f t="shared" si="162"/>
        <v>4.250000000000001E-2</v>
      </c>
      <c r="AO290" s="253">
        <v>42290</v>
      </c>
      <c r="AP290" s="256">
        <f t="shared" si="163"/>
        <v>0.13166666666666663</v>
      </c>
      <c r="AQ290" s="253">
        <v>42656</v>
      </c>
      <c r="AR290" s="256">
        <f t="shared" si="164"/>
        <v>3.9166666666666662E-2</v>
      </c>
    </row>
    <row r="291" spans="4:44" hidden="1" x14ac:dyDescent="0.2">
      <c r="D291" s="14">
        <v>287</v>
      </c>
      <c r="E291" s="12">
        <v>41561</v>
      </c>
      <c r="F291" s="15">
        <f t="shared" si="156"/>
        <v>5.4625E-2</v>
      </c>
      <c r="H291" s="14">
        <v>287</v>
      </c>
      <c r="I291" s="12">
        <v>41926</v>
      </c>
      <c r="J291" s="15">
        <f t="shared" si="157"/>
        <v>5.1458333333333328E-2</v>
      </c>
      <c r="K291" s="4"/>
      <c r="L291" s="14">
        <v>287</v>
      </c>
      <c r="M291" s="12">
        <v>42291</v>
      </c>
      <c r="N291" s="15">
        <f t="shared" si="159"/>
        <v>4.354166666666668E-2</v>
      </c>
      <c r="O291" s="141"/>
      <c r="P291" s="14">
        <v>287</v>
      </c>
      <c r="Q291" s="12">
        <v>41926</v>
      </c>
      <c r="R291" s="15">
        <f t="shared" si="158"/>
        <v>4.0375000000000008E-2</v>
      </c>
      <c r="S291" s="4"/>
      <c r="T291" s="14">
        <v>287</v>
      </c>
      <c r="U291" s="12">
        <v>42291</v>
      </c>
      <c r="V291" s="15">
        <f t="shared" si="160"/>
        <v>4.0375000000000008E-2</v>
      </c>
      <c r="AA291" s="14">
        <v>287</v>
      </c>
      <c r="AB291" s="12">
        <v>41195</v>
      </c>
      <c r="AC291" s="15">
        <f t="shared" si="161"/>
        <v>5.7791666666666658E-2</v>
      </c>
      <c r="AI291" s="255">
        <v>287</v>
      </c>
      <c r="AJ291" s="253">
        <v>42291</v>
      </c>
      <c r="AK291" s="256">
        <f t="shared" si="165"/>
        <v>7.4166666666666672E-2</v>
      </c>
      <c r="AL291" s="253">
        <v>42657</v>
      </c>
      <c r="AM291" s="256">
        <f t="shared" si="162"/>
        <v>4.250000000000001E-2</v>
      </c>
      <c r="AO291" s="253">
        <v>42291</v>
      </c>
      <c r="AP291" s="256">
        <f t="shared" si="163"/>
        <v>0.13166666666666663</v>
      </c>
      <c r="AQ291" s="253">
        <v>42657</v>
      </c>
      <c r="AR291" s="256">
        <f t="shared" si="164"/>
        <v>3.9166666666666662E-2</v>
      </c>
    </row>
    <row r="292" spans="4:44" hidden="1" x14ac:dyDescent="0.2">
      <c r="D292" s="14">
        <v>288</v>
      </c>
      <c r="E292" s="12">
        <v>41562</v>
      </c>
      <c r="F292" s="15">
        <f t="shared" si="156"/>
        <v>5.4625E-2</v>
      </c>
      <c r="H292" s="14">
        <v>288</v>
      </c>
      <c r="I292" s="12">
        <v>41927</v>
      </c>
      <c r="J292" s="15">
        <f t="shared" si="157"/>
        <v>5.1458333333333328E-2</v>
      </c>
      <c r="K292" s="4"/>
      <c r="L292" s="14">
        <v>288</v>
      </c>
      <c r="M292" s="12">
        <v>42292</v>
      </c>
      <c r="N292" s="15">
        <f t="shared" si="159"/>
        <v>4.354166666666668E-2</v>
      </c>
      <c r="O292" s="141"/>
      <c r="P292" s="14">
        <v>288</v>
      </c>
      <c r="Q292" s="12">
        <v>41927</v>
      </c>
      <c r="R292" s="15">
        <f t="shared" si="158"/>
        <v>4.0375000000000008E-2</v>
      </c>
      <c r="S292" s="4"/>
      <c r="T292" s="14">
        <v>288</v>
      </c>
      <c r="U292" s="12">
        <v>42292</v>
      </c>
      <c r="V292" s="15">
        <f t="shared" si="160"/>
        <v>4.0375000000000008E-2</v>
      </c>
      <c r="AA292" s="14">
        <v>288</v>
      </c>
      <c r="AB292" s="12">
        <v>41196</v>
      </c>
      <c r="AC292" s="15">
        <f t="shared" si="161"/>
        <v>5.7791666666666658E-2</v>
      </c>
      <c r="AI292" s="255">
        <v>288</v>
      </c>
      <c r="AJ292" s="253">
        <v>42292</v>
      </c>
      <c r="AK292" s="256">
        <f t="shared" si="165"/>
        <v>7.4166666666666672E-2</v>
      </c>
      <c r="AL292" s="253">
        <v>42658</v>
      </c>
      <c r="AM292" s="256">
        <f t="shared" si="162"/>
        <v>4.250000000000001E-2</v>
      </c>
      <c r="AO292" s="253">
        <v>42292</v>
      </c>
      <c r="AP292" s="256">
        <f t="shared" si="163"/>
        <v>0.13166666666666663</v>
      </c>
      <c r="AQ292" s="253">
        <v>42658</v>
      </c>
      <c r="AR292" s="256">
        <f t="shared" si="164"/>
        <v>3.9166666666666662E-2</v>
      </c>
    </row>
    <row r="293" spans="4:44" hidden="1" x14ac:dyDescent="0.2">
      <c r="D293" s="14">
        <v>289</v>
      </c>
      <c r="E293" s="12">
        <v>41563</v>
      </c>
      <c r="F293" s="15">
        <f t="shared" si="156"/>
        <v>5.4625E-2</v>
      </c>
      <c r="H293" s="14">
        <v>289</v>
      </c>
      <c r="I293" s="12">
        <v>41928</v>
      </c>
      <c r="J293" s="15">
        <f t="shared" si="157"/>
        <v>5.1458333333333328E-2</v>
      </c>
      <c r="K293" s="4"/>
      <c r="L293" s="14">
        <v>289</v>
      </c>
      <c r="M293" s="12">
        <v>42293</v>
      </c>
      <c r="N293" s="15">
        <f t="shared" si="159"/>
        <v>4.354166666666668E-2</v>
      </c>
      <c r="O293" s="141"/>
      <c r="P293" s="14">
        <v>289</v>
      </c>
      <c r="Q293" s="12">
        <v>41928</v>
      </c>
      <c r="R293" s="15">
        <f t="shared" si="158"/>
        <v>4.0375000000000008E-2</v>
      </c>
      <c r="S293" s="4"/>
      <c r="T293" s="14">
        <v>289</v>
      </c>
      <c r="U293" s="12">
        <v>42293</v>
      </c>
      <c r="V293" s="15">
        <f t="shared" si="160"/>
        <v>4.0375000000000008E-2</v>
      </c>
      <c r="AA293" s="14">
        <v>289</v>
      </c>
      <c r="AB293" s="12">
        <v>41197</v>
      </c>
      <c r="AC293" s="15">
        <f t="shared" si="161"/>
        <v>5.7791666666666658E-2</v>
      </c>
      <c r="AI293" s="255">
        <v>289</v>
      </c>
      <c r="AJ293" s="253">
        <v>42293</v>
      </c>
      <c r="AK293" s="256">
        <f t="shared" si="165"/>
        <v>7.4166666666666672E-2</v>
      </c>
      <c r="AL293" s="253">
        <v>42659</v>
      </c>
      <c r="AM293" s="256">
        <f t="shared" si="162"/>
        <v>4.250000000000001E-2</v>
      </c>
      <c r="AO293" s="253">
        <v>42293</v>
      </c>
      <c r="AP293" s="256">
        <f t="shared" si="163"/>
        <v>0.13166666666666663</v>
      </c>
      <c r="AQ293" s="253">
        <v>42659</v>
      </c>
      <c r="AR293" s="256">
        <f t="shared" si="164"/>
        <v>3.9166666666666662E-2</v>
      </c>
    </row>
    <row r="294" spans="4:44" hidden="1" x14ac:dyDescent="0.2">
      <c r="D294" s="14">
        <v>290</v>
      </c>
      <c r="E294" s="12">
        <v>41564</v>
      </c>
      <c r="F294" s="15">
        <f t="shared" si="156"/>
        <v>5.4625E-2</v>
      </c>
      <c r="H294" s="14">
        <v>290</v>
      </c>
      <c r="I294" s="12">
        <v>41929</v>
      </c>
      <c r="J294" s="15">
        <f t="shared" si="157"/>
        <v>5.1458333333333328E-2</v>
      </c>
      <c r="K294" s="4"/>
      <c r="L294" s="14">
        <v>290</v>
      </c>
      <c r="M294" s="12">
        <v>42294</v>
      </c>
      <c r="N294" s="15">
        <f t="shared" si="159"/>
        <v>4.354166666666668E-2</v>
      </c>
      <c r="O294" s="141"/>
      <c r="P294" s="14">
        <v>290</v>
      </c>
      <c r="Q294" s="12">
        <v>41929</v>
      </c>
      <c r="R294" s="15">
        <f t="shared" si="158"/>
        <v>4.0375000000000008E-2</v>
      </c>
      <c r="S294" s="4"/>
      <c r="T294" s="14">
        <v>290</v>
      </c>
      <c r="U294" s="12">
        <v>42294</v>
      </c>
      <c r="V294" s="15">
        <f t="shared" si="160"/>
        <v>4.0375000000000008E-2</v>
      </c>
      <c r="AA294" s="14">
        <v>290</v>
      </c>
      <c r="AB294" s="12">
        <v>41198</v>
      </c>
      <c r="AC294" s="15">
        <f t="shared" si="161"/>
        <v>5.7791666666666658E-2</v>
      </c>
      <c r="AI294" s="255">
        <v>290</v>
      </c>
      <c r="AJ294" s="253">
        <v>42294</v>
      </c>
      <c r="AK294" s="256">
        <f t="shared" si="165"/>
        <v>7.4166666666666672E-2</v>
      </c>
      <c r="AL294" s="253">
        <v>42660</v>
      </c>
      <c r="AM294" s="256">
        <f t="shared" si="162"/>
        <v>4.250000000000001E-2</v>
      </c>
      <c r="AO294" s="253">
        <v>42294</v>
      </c>
      <c r="AP294" s="256">
        <f t="shared" si="163"/>
        <v>0.13166666666666663</v>
      </c>
      <c r="AQ294" s="253">
        <v>42660</v>
      </c>
      <c r="AR294" s="256">
        <f t="shared" si="164"/>
        <v>3.9166666666666662E-2</v>
      </c>
    </row>
    <row r="295" spans="4:44" hidden="1" x14ac:dyDescent="0.2">
      <c r="D295" s="14">
        <v>291</v>
      </c>
      <c r="E295" s="12">
        <v>41565</v>
      </c>
      <c r="F295" s="15">
        <f t="shared" si="156"/>
        <v>5.4625E-2</v>
      </c>
      <c r="H295" s="14">
        <v>291</v>
      </c>
      <c r="I295" s="12">
        <v>41930</v>
      </c>
      <c r="J295" s="15">
        <f t="shared" si="157"/>
        <v>5.1458333333333328E-2</v>
      </c>
      <c r="K295" s="4"/>
      <c r="L295" s="14">
        <v>291</v>
      </c>
      <c r="M295" s="12">
        <v>42295</v>
      </c>
      <c r="N295" s="15">
        <f t="shared" si="159"/>
        <v>4.354166666666668E-2</v>
      </c>
      <c r="O295" s="141"/>
      <c r="P295" s="14">
        <v>291</v>
      </c>
      <c r="Q295" s="12">
        <v>41930</v>
      </c>
      <c r="R295" s="15">
        <f t="shared" si="158"/>
        <v>4.0375000000000008E-2</v>
      </c>
      <c r="S295" s="4"/>
      <c r="T295" s="14">
        <v>291</v>
      </c>
      <c r="U295" s="12">
        <v>42295</v>
      </c>
      <c r="V295" s="15">
        <f t="shared" si="160"/>
        <v>4.0375000000000008E-2</v>
      </c>
      <c r="AA295" s="14">
        <v>291</v>
      </c>
      <c r="AB295" s="12">
        <v>41199</v>
      </c>
      <c r="AC295" s="15">
        <f t="shared" si="161"/>
        <v>5.7791666666666658E-2</v>
      </c>
      <c r="AI295" s="255">
        <v>291</v>
      </c>
      <c r="AJ295" s="253">
        <v>42295</v>
      </c>
      <c r="AK295" s="256">
        <f t="shared" si="165"/>
        <v>7.4166666666666672E-2</v>
      </c>
      <c r="AL295" s="253">
        <v>42661</v>
      </c>
      <c r="AM295" s="256">
        <f t="shared" si="162"/>
        <v>4.250000000000001E-2</v>
      </c>
      <c r="AO295" s="253">
        <v>42295</v>
      </c>
      <c r="AP295" s="256">
        <f t="shared" si="163"/>
        <v>0.13166666666666663</v>
      </c>
      <c r="AQ295" s="253">
        <v>42661</v>
      </c>
      <c r="AR295" s="256">
        <f t="shared" si="164"/>
        <v>3.9166666666666662E-2</v>
      </c>
    </row>
    <row r="296" spans="4:44" hidden="1" x14ac:dyDescent="0.2">
      <c r="D296" s="14">
        <v>292</v>
      </c>
      <c r="E296" s="12">
        <v>41566</v>
      </c>
      <c r="F296" s="15">
        <f t="shared" si="156"/>
        <v>5.4625E-2</v>
      </c>
      <c r="H296" s="14">
        <v>292</v>
      </c>
      <c r="I296" s="12">
        <v>41931</v>
      </c>
      <c r="J296" s="15">
        <f t="shared" si="157"/>
        <v>5.1458333333333328E-2</v>
      </c>
      <c r="K296" s="4"/>
      <c r="L296" s="14">
        <v>292</v>
      </c>
      <c r="M296" s="12">
        <v>42296</v>
      </c>
      <c r="N296" s="15">
        <f t="shared" si="159"/>
        <v>4.354166666666668E-2</v>
      </c>
      <c r="O296" s="141"/>
      <c r="P296" s="14">
        <v>292</v>
      </c>
      <c r="Q296" s="12">
        <v>41931</v>
      </c>
      <c r="R296" s="15">
        <f t="shared" si="158"/>
        <v>4.0375000000000008E-2</v>
      </c>
      <c r="S296" s="4"/>
      <c r="T296" s="14">
        <v>292</v>
      </c>
      <c r="U296" s="12">
        <v>42296</v>
      </c>
      <c r="V296" s="15">
        <f t="shared" si="160"/>
        <v>4.0375000000000008E-2</v>
      </c>
      <c r="AA296" s="14">
        <v>292</v>
      </c>
      <c r="AB296" s="12">
        <v>41200</v>
      </c>
      <c r="AC296" s="15">
        <f t="shared" si="161"/>
        <v>5.7791666666666658E-2</v>
      </c>
      <c r="AI296" s="255">
        <v>292</v>
      </c>
      <c r="AJ296" s="253">
        <v>42296</v>
      </c>
      <c r="AK296" s="256">
        <f t="shared" si="165"/>
        <v>7.4166666666666672E-2</v>
      </c>
      <c r="AL296" s="253">
        <v>42662</v>
      </c>
      <c r="AM296" s="256">
        <f t="shared" si="162"/>
        <v>4.250000000000001E-2</v>
      </c>
      <c r="AO296" s="253">
        <v>42296</v>
      </c>
      <c r="AP296" s="256">
        <f t="shared" si="163"/>
        <v>0.13166666666666663</v>
      </c>
      <c r="AQ296" s="253">
        <v>42662</v>
      </c>
      <c r="AR296" s="256">
        <f t="shared" si="164"/>
        <v>3.9166666666666662E-2</v>
      </c>
    </row>
    <row r="297" spans="4:44" hidden="1" x14ac:dyDescent="0.2">
      <c r="D297" s="14">
        <v>293</v>
      </c>
      <c r="E297" s="12">
        <v>41567</v>
      </c>
      <c r="F297" s="15">
        <f t="shared" si="156"/>
        <v>5.4625E-2</v>
      </c>
      <c r="H297" s="14">
        <v>293</v>
      </c>
      <c r="I297" s="12">
        <v>41932</v>
      </c>
      <c r="J297" s="15">
        <f t="shared" si="157"/>
        <v>5.1458333333333328E-2</v>
      </c>
      <c r="K297" s="4"/>
      <c r="L297" s="14">
        <v>293</v>
      </c>
      <c r="M297" s="12">
        <v>42297</v>
      </c>
      <c r="N297" s="15">
        <f t="shared" si="159"/>
        <v>4.354166666666668E-2</v>
      </c>
      <c r="O297" s="141"/>
      <c r="P297" s="14">
        <v>293</v>
      </c>
      <c r="Q297" s="12">
        <v>41932</v>
      </c>
      <c r="R297" s="15">
        <f t="shared" si="158"/>
        <v>4.0375000000000008E-2</v>
      </c>
      <c r="S297" s="4"/>
      <c r="T297" s="14">
        <v>293</v>
      </c>
      <c r="U297" s="12">
        <v>42297</v>
      </c>
      <c r="V297" s="15">
        <f t="shared" si="160"/>
        <v>4.0375000000000008E-2</v>
      </c>
      <c r="AA297" s="14">
        <v>293</v>
      </c>
      <c r="AB297" s="12">
        <v>41201</v>
      </c>
      <c r="AC297" s="15">
        <f t="shared" si="161"/>
        <v>5.7791666666666658E-2</v>
      </c>
      <c r="AI297" s="255">
        <v>293</v>
      </c>
      <c r="AJ297" s="253">
        <v>42297</v>
      </c>
      <c r="AK297" s="256">
        <f t="shared" si="165"/>
        <v>7.4166666666666672E-2</v>
      </c>
      <c r="AL297" s="253">
        <v>42663</v>
      </c>
      <c r="AM297" s="256">
        <f t="shared" si="162"/>
        <v>4.250000000000001E-2</v>
      </c>
      <c r="AO297" s="253">
        <v>42297</v>
      </c>
      <c r="AP297" s="256">
        <f t="shared" si="163"/>
        <v>0.13166666666666663</v>
      </c>
      <c r="AQ297" s="253">
        <v>42663</v>
      </c>
      <c r="AR297" s="256">
        <f t="shared" si="164"/>
        <v>3.9166666666666662E-2</v>
      </c>
    </row>
    <row r="298" spans="4:44" hidden="1" x14ac:dyDescent="0.2">
      <c r="D298" s="14">
        <v>294</v>
      </c>
      <c r="E298" s="12">
        <v>41568</v>
      </c>
      <c r="F298" s="50">
        <f t="shared" ref="F298:F308" si="166">F$268+F$4/D$4/100</f>
        <v>5.7499999999999996E-2</v>
      </c>
      <c r="H298" s="14">
        <v>294</v>
      </c>
      <c r="I298" s="12">
        <v>41933</v>
      </c>
      <c r="J298" s="50">
        <f t="shared" ref="J298:J308" si="167">J$268+J$4/H$4/100</f>
        <v>5.4166666666666662E-2</v>
      </c>
      <c r="K298" s="4"/>
      <c r="L298" s="14">
        <v>294</v>
      </c>
      <c r="M298" s="12">
        <v>42298</v>
      </c>
      <c r="N298" s="50">
        <f>N$268+N$4/L$4/100</f>
        <v>4.5833333333333344E-2</v>
      </c>
      <c r="O298" s="141"/>
      <c r="P298" s="14">
        <v>294</v>
      </c>
      <c r="Q298" s="12">
        <v>41933</v>
      </c>
      <c r="R298" s="50">
        <f t="shared" ref="R298:R308" si="168">R$268+R$4/P$4/100</f>
        <v>4.250000000000001E-2</v>
      </c>
      <c r="S298" s="4"/>
      <c r="T298" s="14">
        <v>294</v>
      </c>
      <c r="U298" s="12">
        <v>42298</v>
      </c>
      <c r="V298" s="50">
        <f>V$268+V$4/T$4/100</f>
        <v>4.250000000000001E-2</v>
      </c>
      <c r="AA298" s="51">
        <v>294</v>
      </c>
      <c r="AB298" s="12">
        <v>41202</v>
      </c>
      <c r="AC298" s="15">
        <f>AC$249+AC$4/AA$4/100</f>
        <v>5.7791666666666658E-2</v>
      </c>
      <c r="AI298" s="255">
        <v>294</v>
      </c>
      <c r="AJ298" s="253">
        <v>42298</v>
      </c>
      <c r="AK298" s="256">
        <f t="shared" si="165"/>
        <v>7.4166666666666672E-2</v>
      </c>
      <c r="AL298" s="253">
        <v>42664</v>
      </c>
      <c r="AM298" s="256">
        <f t="shared" si="162"/>
        <v>4.250000000000001E-2</v>
      </c>
      <c r="AO298" s="253">
        <v>42298</v>
      </c>
      <c r="AP298" s="256">
        <f t="shared" si="163"/>
        <v>0.13166666666666663</v>
      </c>
      <c r="AQ298" s="253">
        <v>42664</v>
      </c>
      <c r="AR298" s="256">
        <f t="shared" si="164"/>
        <v>3.9166666666666662E-2</v>
      </c>
    </row>
    <row r="299" spans="4:44" hidden="1" x14ac:dyDescent="0.2">
      <c r="D299" s="14">
        <v>295</v>
      </c>
      <c r="E299" s="12">
        <v>41569</v>
      </c>
      <c r="F299" s="15">
        <f t="shared" si="166"/>
        <v>5.7499999999999996E-2</v>
      </c>
      <c r="H299" s="14">
        <v>295</v>
      </c>
      <c r="I299" s="12">
        <v>41934</v>
      </c>
      <c r="J299" s="15">
        <f t="shared" si="167"/>
        <v>5.4166666666666662E-2</v>
      </c>
      <c r="K299" s="4"/>
      <c r="L299" s="14">
        <v>295</v>
      </c>
      <c r="M299" s="12">
        <v>42299</v>
      </c>
      <c r="N299" s="15">
        <f t="shared" ref="N299:N308" si="169">N$268+N$4/L$4/100</f>
        <v>4.5833333333333344E-2</v>
      </c>
      <c r="O299" s="141"/>
      <c r="P299" s="14">
        <v>295</v>
      </c>
      <c r="Q299" s="12">
        <v>41934</v>
      </c>
      <c r="R299" s="15">
        <f t="shared" si="168"/>
        <v>4.250000000000001E-2</v>
      </c>
      <c r="S299" s="4"/>
      <c r="T299" s="14">
        <v>295</v>
      </c>
      <c r="U299" s="12">
        <v>42299</v>
      </c>
      <c r="V299" s="15">
        <f t="shared" ref="V299:V308" si="170">V$268+V$4/T$4/100</f>
        <v>4.250000000000001E-2</v>
      </c>
      <c r="AA299" s="51">
        <v>295</v>
      </c>
      <c r="AB299" s="49">
        <v>41203</v>
      </c>
      <c r="AC299" s="50">
        <f>AC$269+AC$4/AA$4/100</f>
        <v>6.0833333333333323E-2</v>
      </c>
      <c r="AI299" s="255">
        <v>295</v>
      </c>
      <c r="AJ299" s="253">
        <v>42299</v>
      </c>
      <c r="AK299" s="256">
        <f t="shared" si="165"/>
        <v>7.4166666666666672E-2</v>
      </c>
      <c r="AL299" s="253">
        <v>42665</v>
      </c>
      <c r="AM299" s="256">
        <f t="shared" si="162"/>
        <v>4.250000000000001E-2</v>
      </c>
      <c r="AO299" s="253">
        <v>42299</v>
      </c>
      <c r="AP299" s="256">
        <f t="shared" si="163"/>
        <v>0.13166666666666663</v>
      </c>
      <c r="AQ299" s="253">
        <v>42665</v>
      </c>
      <c r="AR299" s="256">
        <f t="shared" si="164"/>
        <v>3.9166666666666662E-2</v>
      </c>
    </row>
    <row r="300" spans="4:44" hidden="1" x14ac:dyDescent="0.2">
      <c r="D300" s="14">
        <v>296</v>
      </c>
      <c r="E300" s="12">
        <v>41570</v>
      </c>
      <c r="F300" s="15">
        <f t="shared" si="166"/>
        <v>5.7499999999999996E-2</v>
      </c>
      <c r="H300" s="14">
        <v>296</v>
      </c>
      <c r="I300" s="12">
        <v>41935</v>
      </c>
      <c r="J300" s="15">
        <f t="shared" si="167"/>
        <v>5.4166666666666662E-2</v>
      </c>
      <c r="K300" s="4"/>
      <c r="L300" s="14">
        <v>296</v>
      </c>
      <c r="M300" s="12">
        <v>42300</v>
      </c>
      <c r="N300" s="15">
        <f t="shared" si="169"/>
        <v>4.5833333333333344E-2</v>
      </c>
      <c r="O300" s="141"/>
      <c r="P300" s="14">
        <v>296</v>
      </c>
      <c r="Q300" s="12">
        <v>41935</v>
      </c>
      <c r="R300" s="15">
        <f t="shared" si="168"/>
        <v>4.250000000000001E-2</v>
      </c>
      <c r="S300" s="4"/>
      <c r="T300" s="14">
        <v>296</v>
      </c>
      <c r="U300" s="12">
        <v>42300</v>
      </c>
      <c r="V300" s="15">
        <f t="shared" si="170"/>
        <v>4.250000000000001E-2</v>
      </c>
      <c r="AA300" s="14">
        <v>296</v>
      </c>
      <c r="AB300" s="12">
        <v>41204</v>
      </c>
      <c r="AC300" s="15">
        <f t="shared" ref="AC300:AC309" si="171">AC$269+AC$4/AA$4/100</f>
        <v>6.0833333333333323E-2</v>
      </c>
      <c r="AI300" s="255">
        <v>296</v>
      </c>
      <c r="AJ300" s="253">
        <v>42300</v>
      </c>
      <c r="AK300" s="256">
        <f t="shared" si="165"/>
        <v>7.4166666666666672E-2</v>
      </c>
      <c r="AL300" s="253">
        <v>42666</v>
      </c>
      <c r="AM300" s="256">
        <f t="shared" si="162"/>
        <v>4.250000000000001E-2</v>
      </c>
      <c r="AO300" s="253">
        <v>42300</v>
      </c>
      <c r="AP300" s="256">
        <f t="shared" si="163"/>
        <v>0.13166666666666663</v>
      </c>
      <c r="AQ300" s="253">
        <v>42666</v>
      </c>
      <c r="AR300" s="256">
        <f t="shared" si="164"/>
        <v>3.9166666666666662E-2</v>
      </c>
    </row>
    <row r="301" spans="4:44" hidden="1" x14ac:dyDescent="0.2">
      <c r="D301" s="14">
        <v>297</v>
      </c>
      <c r="E301" s="12">
        <v>41571</v>
      </c>
      <c r="F301" s="15">
        <f t="shared" si="166"/>
        <v>5.7499999999999996E-2</v>
      </c>
      <c r="H301" s="14">
        <v>297</v>
      </c>
      <c r="I301" s="12">
        <v>41936</v>
      </c>
      <c r="J301" s="15">
        <f t="shared" si="167"/>
        <v>5.4166666666666662E-2</v>
      </c>
      <c r="K301" s="4"/>
      <c r="L301" s="14">
        <v>297</v>
      </c>
      <c r="M301" s="12">
        <v>42301</v>
      </c>
      <c r="N301" s="15">
        <f t="shared" si="169"/>
        <v>4.5833333333333344E-2</v>
      </c>
      <c r="O301" s="141"/>
      <c r="P301" s="14">
        <v>297</v>
      </c>
      <c r="Q301" s="12">
        <v>41936</v>
      </c>
      <c r="R301" s="15">
        <f t="shared" si="168"/>
        <v>4.250000000000001E-2</v>
      </c>
      <c r="S301" s="4"/>
      <c r="T301" s="14">
        <v>297</v>
      </c>
      <c r="U301" s="12">
        <v>42301</v>
      </c>
      <c r="V301" s="15">
        <f t="shared" si="170"/>
        <v>4.250000000000001E-2</v>
      </c>
      <c r="AA301" s="14">
        <v>297</v>
      </c>
      <c r="AB301" s="12">
        <v>41205</v>
      </c>
      <c r="AC301" s="15">
        <f t="shared" si="171"/>
        <v>6.0833333333333323E-2</v>
      </c>
      <c r="AI301" s="255">
        <v>297</v>
      </c>
      <c r="AJ301" s="253">
        <v>42301</v>
      </c>
      <c r="AK301" s="256">
        <f t="shared" si="165"/>
        <v>7.4166666666666672E-2</v>
      </c>
      <c r="AL301" s="253">
        <v>42667</v>
      </c>
      <c r="AM301" s="256">
        <f t="shared" si="162"/>
        <v>4.250000000000001E-2</v>
      </c>
      <c r="AO301" s="253">
        <v>42301</v>
      </c>
      <c r="AP301" s="256">
        <f t="shared" si="163"/>
        <v>0.13166666666666663</v>
      </c>
      <c r="AQ301" s="253">
        <v>42667</v>
      </c>
      <c r="AR301" s="256">
        <f t="shared" si="164"/>
        <v>3.9166666666666662E-2</v>
      </c>
    </row>
    <row r="302" spans="4:44" hidden="1" x14ac:dyDescent="0.2">
      <c r="D302" s="14">
        <v>298</v>
      </c>
      <c r="E302" s="12">
        <v>41572</v>
      </c>
      <c r="F302" s="15">
        <f t="shared" si="166"/>
        <v>5.7499999999999996E-2</v>
      </c>
      <c r="H302" s="14">
        <v>298</v>
      </c>
      <c r="I302" s="12">
        <v>41937</v>
      </c>
      <c r="J302" s="15">
        <f t="shared" si="167"/>
        <v>5.4166666666666662E-2</v>
      </c>
      <c r="K302" s="4"/>
      <c r="L302" s="14">
        <v>298</v>
      </c>
      <c r="M302" s="12">
        <v>42302</v>
      </c>
      <c r="N302" s="15">
        <f t="shared" si="169"/>
        <v>4.5833333333333344E-2</v>
      </c>
      <c r="O302" s="141"/>
      <c r="P302" s="14">
        <v>298</v>
      </c>
      <c r="Q302" s="12">
        <v>41937</v>
      </c>
      <c r="R302" s="15">
        <f t="shared" si="168"/>
        <v>4.250000000000001E-2</v>
      </c>
      <c r="S302" s="4"/>
      <c r="T302" s="14">
        <v>298</v>
      </c>
      <c r="U302" s="12">
        <v>42302</v>
      </c>
      <c r="V302" s="15">
        <f t="shared" si="170"/>
        <v>4.250000000000001E-2</v>
      </c>
      <c r="AA302" s="14">
        <v>298</v>
      </c>
      <c r="AB302" s="12">
        <v>41206</v>
      </c>
      <c r="AC302" s="15">
        <f t="shared" si="171"/>
        <v>6.0833333333333323E-2</v>
      </c>
      <c r="AI302" s="255">
        <v>298</v>
      </c>
      <c r="AJ302" s="253">
        <v>42302</v>
      </c>
      <c r="AK302" s="256">
        <f t="shared" si="165"/>
        <v>7.4166666666666672E-2</v>
      </c>
      <c r="AL302" s="253">
        <v>42668</v>
      </c>
      <c r="AM302" s="256">
        <f t="shared" si="162"/>
        <v>4.250000000000001E-2</v>
      </c>
      <c r="AO302" s="253">
        <v>42302</v>
      </c>
      <c r="AP302" s="256">
        <f t="shared" si="163"/>
        <v>0.13166666666666663</v>
      </c>
      <c r="AQ302" s="253">
        <v>42668</v>
      </c>
      <c r="AR302" s="256">
        <f t="shared" si="164"/>
        <v>3.9166666666666662E-2</v>
      </c>
    </row>
    <row r="303" spans="4:44" hidden="1" x14ac:dyDescent="0.2">
      <c r="D303" s="14">
        <v>299</v>
      </c>
      <c r="E303" s="12">
        <v>41573</v>
      </c>
      <c r="F303" s="15">
        <f t="shared" si="166"/>
        <v>5.7499999999999996E-2</v>
      </c>
      <c r="H303" s="14">
        <v>299</v>
      </c>
      <c r="I303" s="12">
        <v>41938</v>
      </c>
      <c r="J303" s="15">
        <f t="shared" si="167"/>
        <v>5.4166666666666662E-2</v>
      </c>
      <c r="K303" s="4"/>
      <c r="L303" s="14">
        <v>299</v>
      </c>
      <c r="M303" s="12">
        <v>42303</v>
      </c>
      <c r="N303" s="15">
        <f t="shared" si="169"/>
        <v>4.5833333333333344E-2</v>
      </c>
      <c r="O303" s="141"/>
      <c r="P303" s="14">
        <v>299</v>
      </c>
      <c r="Q303" s="12">
        <v>41938</v>
      </c>
      <c r="R303" s="15">
        <f t="shared" si="168"/>
        <v>4.250000000000001E-2</v>
      </c>
      <c r="S303" s="4"/>
      <c r="T303" s="14">
        <v>299</v>
      </c>
      <c r="U303" s="12">
        <v>42303</v>
      </c>
      <c r="V303" s="15">
        <f t="shared" si="170"/>
        <v>4.250000000000001E-2</v>
      </c>
      <c r="AA303" s="14">
        <v>299</v>
      </c>
      <c r="AB303" s="12">
        <v>41207</v>
      </c>
      <c r="AC303" s="15">
        <f t="shared" si="171"/>
        <v>6.0833333333333323E-2</v>
      </c>
      <c r="AI303" s="255">
        <v>299</v>
      </c>
      <c r="AJ303" s="253">
        <v>42303</v>
      </c>
      <c r="AK303" s="256">
        <f t="shared" si="165"/>
        <v>7.4166666666666672E-2</v>
      </c>
      <c r="AL303" s="253">
        <v>42669</v>
      </c>
      <c r="AM303" s="256">
        <f t="shared" si="162"/>
        <v>4.250000000000001E-2</v>
      </c>
      <c r="AO303" s="253">
        <v>42303</v>
      </c>
      <c r="AP303" s="256">
        <f t="shared" si="163"/>
        <v>0.13166666666666663</v>
      </c>
      <c r="AQ303" s="253">
        <v>42669</v>
      </c>
      <c r="AR303" s="256">
        <f t="shared" si="164"/>
        <v>3.9166666666666662E-2</v>
      </c>
    </row>
    <row r="304" spans="4:44" hidden="1" x14ac:dyDescent="0.2">
      <c r="D304" s="14">
        <v>300</v>
      </c>
      <c r="E304" s="12">
        <v>41574</v>
      </c>
      <c r="F304" s="15">
        <f t="shared" si="166"/>
        <v>5.7499999999999996E-2</v>
      </c>
      <c r="H304" s="14">
        <v>300</v>
      </c>
      <c r="I304" s="12">
        <v>41939</v>
      </c>
      <c r="J304" s="15">
        <f t="shared" si="167"/>
        <v>5.4166666666666662E-2</v>
      </c>
      <c r="K304" s="4"/>
      <c r="L304" s="14">
        <v>300</v>
      </c>
      <c r="M304" s="12">
        <v>42304</v>
      </c>
      <c r="N304" s="15">
        <f t="shared" si="169"/>
        <v>4.5833333333333344E-2</v>
      </c>
      <c r="O304" s="141"/>
      <c r="P304" s="14">
        <v>300</v>
      </c>
      <c r="Q304" s="12">
        <v>41939</v>
      </c>
      <c r="R304" s="15">
        <f t="shared" si="168"/>
        <v>4.250000000000001E-2</v>
      </c>
      <c r="S304" s="4"/>
      <c r="T304" s="14">
        <v>300</v>
      </c>
      <c r="U304" s="12">
        <v>42304</v>
      </c>
      <c r="V304" s="15">
        <f t="shared" si="170"/>
        <v>4.250000000000001E-2</v>
      </c>
      <c r="AA304" s="14">
        <v>300</v>
      </c>
      <c r="AB304" s="12">
        <v>41208</v>
      </c>
      <c r="AC304" s="15">
        <f t="shared" si="171"/>
        <v>6.0833333333333323E-2</v>
      </c>
      <c r="AI304" s="255">
        <v>300</v>
      </c>
      <c r="AJ304" s="253">
        <v>42304</v>
      </c>
      <c r="AK304" s="256">
        <f t="shared" si="165"/>
        <v>7.4166666666666672E-2</v>
      </c>
      <c r="AL304" s="253">
        <v>42670</v>
      </c>
      <c r="AM304" s="256">
        <f t="shared" si="162"/>
        <v>4.250000000000001E-2</v>
      </c>
      <c r="AO304" s="253">
        <v>42304</v>
      </c>
      <c r="AP304" s="256">
        <f t="shared" si="163"/>
        <v>0.13166666666666663</v>
      </c>
      <c r="AQ304" s="253">
        <v>42670</v>
      </c>
      <c r="AR304" s="256">
        <f t="shared" si="164"/>
        <v>3.9166666666666662E-2</v>
      </c>
    </row>
    <row r="305" spans="4:44" hidden="1" x14ac:dyDescent="0.2">
      <c r="D305" s="14">
        <v>301</v>
      </c>
      <c r="E305" s="12">
        <v>41575</v>
      </c>
      <c r="F305" s="15">
        <f t="shared" si="166"/>
        <v>5.7499999999999996E-2</v>
      </c>
      <c r="H305" s="14">
        <v>301</v>
      </c>
      <c r="I305" s="12">
        <v>41940</v>
      </c>
      <c r="J305" s="15">
        <f t="shared" si="167"/>
        <v>5.4166666666666662E-2</v>
      </c>
      <c r="K305" s="4"/>
      <c r="L305" s="14">
        <v>301</v>
      </c>
      <c r="M305" s="12">
        <v>42305</v>
      </c>
      <c r="N305" s="15">
        <f t="shared" si="169"/>
        <v>4.5833333333333344E-2</v>
      </c>
      <c r="O305" s="141"/>
      <c r="P305" s="14">
        <v>301</v>
      </c>
      <c r="Q305" s="12">
        <v>41940</v>
      </c>
      <c r="R305" s="15">
        <f t="shared" si="168"/>
        <v>4.250000000000001E-2</v>
      </c>
      <c r="S305" s="4"/>
      <c r="T305" s="14">
        <v>301</v>
      </c>
      <c r="U305" s="12">
        <v>42305</v>
      </c>
      <c r="V305" s="15">
        <f t="shared" si="170"/>
        <v>4.250000000000001E-2</v>
      </c>
      <c r="AA305" s="14">
        <v>301</v>
      </c>
      <c r="AB305" s="12">
        <v>41209</v>
      </c>
      <c r="AC305" s="15">
        <f t="shared" si="171"/>
        <v>6.0833333333333323E-2</v>
      </c>
      <c r="AI305" s="255">
        <v>301</v>
      </c>
      <c r="AJ305" s="253">
        <v>42305</v>
      </c>
      <c r="AK305" s="256">
        <f t="shared" si="165"/>
        <v>7.4166666666666672E-2</v>
      </c>
      <c r="AL305" s="253">
        <v>42671</v>
      </c>
      <c r="AM305" s="256">
        <f t="shared" si="162"/>
        <v>4.250000000000001E-2</v>
      </c>
      <c r="AO305" s="253">
        <v>42305</v>
      </c>
      <c r="AP305" s="256">
        <f t="shared" si="163"/>
        <v>0.13166666666666663</v>
      </c>
      <c r="AQ305" s="253">
        <v>42671</v>
      </c>
      <c r="AR305" s="256">
        <f t="shared" si="164"/>
        <v>3.9166666666666662E-2</v>
      </c>
    </row>
    <row r="306" spans="4:44" hidden="1" x14ac:dyDescent="0.2">
      <c r="D306" s="14">
        <v>302</v>
      </c>
      <c r="E306" s="12">
        <v>41576</v>
      </c>
      <c r="F306" s="15">
        <f t="shared" si="166"/>
        <v>5.7499999999999996E-2</v>
      </c>
      <c r="H306" s="14">
        <v>302</v>
      </c>
      <c r="I306" s="12">
        <v>41941</v>
      </c>
      <c r="J306" s="15">
        <f t="shared" si="167"/>
        <v>5.4166666666666662E-2</v>
      </c>
      <c r="K306" s="4"/>
      <c r="L306" s="14">
        <v>302</v>
      </c>
      <c r="M306" s="12">
        <v>42306</v>
      </c>
      <c r="N306" s="15">
        <f t="shared" si="169"/>
        <v>4.5833333333333344E-2</v>
      </c>
      <c r="O306" s="141"/>
      <c r="P306" s="14">
        <v>302</v>
      </c>
      <c r="Q306" s="12">
        <v>41941</v>
      </c>
      <c r="R306" s="15">
        <f t="shared" si="168"/>
        <v>4.250000000000001E-2</v>
      </c>
      <c r="S306" s="4"/>
      <c r="T306" s="14">
        <v>302</v>
      </c>
      <c r="U306" s="12">
        <v>42306</v>
      </c>
      <c r="V306" s="15">
        <f t="shared" si="170"/>
        <v>4.250000000000001E-2</v>
      </c>
      <c r="AA306" s="14">
        <v>302</v>
      </c>
      <c r="AB306" s="12">
        <v>41210</v>
      </c>
      <c r="AC306" s="15">
        <f t="shared" si="171"/>
        <v>6.0833333333333323E-2</v>
      </c>
      <c r="AI306" s="255">
        <v>302</v>
      </c>
      <c r="AJ306" s="253">
        <v>42306</v>
      </c>
      <c r="AK306" s="256">
        <f t="shared" si="165"/>
        <v>7.4166666666666672E-2</v>
      </c>
      <c r="AL306" s="253">
        <v>42672</v>
      </c>
      <c r="AM306" s="256">
        <f t="shared" si="162"/>
        <v>4.250000000000001E-2</v>
      </c>
      <c r="AO306" s="253">
        <v>42306</v>
      </c>
      <c r="AP306" s="256">
        <f t="shared" si="163"/>
        <v>0.13166666666666663</v>
      </c>
      <c r="AQ306" s="253">
        <v>42672</v>
      </c>
      <c r="AR306" s="256">
        <f t="shared" si="164"/>
        <v>3.9166666666666662E-2</v>
      </c>
    </row>
    <row r="307" spans="4:44" hidden="1" x14ac:dyDescent="0.2">
      <c r="D307" s="14">
        <v>303</v>
      </c>
      <c r="E307" s="12">
        <v>41577</v>
      </c>
      <c r="F307" s="15">
        <f t="shared" si="166"/>
        <v>5.7499999999999996E-2</v>
      </c>
      <c r="H307" s="14">
        <v>303</v>
      </c>
      <c r="I307" s="12">
        <v>41942</v>
      </c>
      <c r="J307" s="15">
        <f t="shared" si="167"/>
        <v>5.4166666666666662E-2</v>
      </c>
      <c r="K307" s="4"/>
      <c r="L307" s="14">
        <v>303</v>
      </c>
      <c r="M307" s="12">
        <v>42307</v>
      </c>
      <c r="N307" s="15">
        <f t="shared" si="169"/>
        <v>4.5833333333333344E-2</v>
      </c>
      <c r="O307" s="141"/>
      <c r="P307" s="14">
        <v>303</v>
      </c>
      <c r="Q307" s="12">
        <v>41942</v>
      </c>
      <c r="R307" s="15">
        <f t="shared" si="168"/>
        <v>4.250000000000001E-2</v>
      </c>
      <c r="S307" s="4"/>
      <c r="T307" s="14">
        <v>303</v>
      </c>
      <c r="U307" s="12">
        <v>42307</v>
      </c>
      <c r="V307" s="15">
        <f t="shared" si="170"/>
        <v>4.250000000000001E-2</v>
      </c>
      <c r="AA307" s="14">
        <v>303</v>
      </c>
      <c r="AB307" s="12">
        <v>41211</v>
      </c>
      <c r="AC307" s="15">
        <f t="shared" si="171"/>
        <v>6.0833333333333323E-2</v>
      </c>
      <c r="AI307" s="255">
        <v>303</v>
      </c>
      <c r="AJ307" s="253">
        <v>42307</v>
      </c>
      <c r="AK307" s="256">
        <f t="shared" si="165"/>
        <v>7.4166666666666672E-2</v>
      </c>
      <c r="AL307" s="253">
        <v>42673</v>
      </c>
      <c r="AM307" s="256">
        <f t="shared" si="162"/>
        <v>4.250000000000001E-2</v>
      </c>
      <c r="AO307" s="253">
        <v>42307</v>
      </c>
      <c r="AP307" s="256">
        <f t="shared" si="163"/>
        <v>0.13166666666666663</v>
      </c>
      <c r="AQ307" s="253">
        <v>42673</v>
      </c>
      <c r="AR307" s="256">
        <f t="shared" si="164"/>
        <v>3.9166666666666662E-2</v>
      </c>
    </row>
    <row r="308" spans="4:44" hidden="1" x14ac:dyDescent="0.2">
      <c r="D308" s="14">
        <v>304</v>
      </c>
      <c r="E308" s="12">
        <v>41578</v>
      </c>
      <c r="F308" s="15">
        <f t="shared" si="166"/>
        <v>5.7499999999999996E-2</v>
      </c>
      <c r="H308" s="14">
        <v>304</v>
      </c>
      <c r="I308" s="12">
        <v>41943</v>
      </c>
      <c r="J308" s="15">
        <f t="shared" si="167"/>
        <v>5.4166666666666662E-2</v>
      </c>
      <c r="K308" s="4"/>
      <c r="L308" s="14">
        <v>304</v>
      </c>
      <c r="M308" s="12">
        <v>42308</v>
      </c>
      <c r="N308" s="15">
        <f t="shared" si="169"/>
        <v>4.5833333333333344E-2</v>
      </c>
      <c r="O308" s="141"/>
      <c r="P308" s="14">
        <v>304</v>
      </c>
      <c r="Q308" s="12">
        <v>41943</v>
      </c>
      <c r="R308" s="15">
        <f t="shared" si="168"/>
        <v>4.250000000000001E-2</v>
      </c>
      <c r="S308" s="4"/>
      <c r="T308" s="14">
        <v>304</v>
      </c>
      <c r="U308" s="12">
        <v>42308</v>
      </c>
      <c r="V308" s="15">
        <f t="shared" si="170"/>
        <v>4.250000000000001E-2</v>
      </c>
      <c r="AA308" s="14">
        <v>304</v>
      </c>
      <c r="AB308" s="12">
        <v>41212</v>
      </c>
      <c r="AC308" s="15">
        <f t="shared" si="171"/>
        <v>6.0833333333333323E-2</v>
      </c>
      <c r="AI308" s="255">
        <v>304</v>
      </c>
      <c r="AJ308" s="253">
        <v>42308</v>
      </c>
      <c r="AK308" s="256">
        <f t="shared" si="165"/>
        <v>7.4166666666666672E-2</v>
      </c>
      <c r="AL308" s="253">
        <v>42674</v>
      </c>
      <c r="AM308" s="256">
        <f t="shared" si="162"/>
        <v>4.250000000000001E-2</v>
      </c>
      <c r="AO308" s="253">
        <v>42308</v>
      </c>
      <c r="AP308" s="256">
        <f t="shared" si="163"/>
        <v>0.13166666666666663</v>
      </c>
      <c r="AQ308" s="253">
        <v>42674</v>
      </c>
      <c r="AR308" s="256">
        <f t="shared" si="164"/>
        <v>3.9166666666666662E-2</v>
      </c>
    </row>
    <row r="309" spans="4:44" hidden="1" x14ac:dyDescent="0.2">
      <c r="D309" s="14">
        <v>305</v>
      </c>
      <c r="E309" s="12">
        <v>41579</v>
      </c>
      <c r="F309" s="50">
        <f t="shared" ref="F309:F328" si="172">F$278+F$4/D$4/100</f>
        <v>6.0374999999999998E-2</v>
      </c>
      <c r="H309" s="14">
        <v>305</v>
      </c>
      <c r="I309" s="12">
        <v>41944</v>
      </c>
      <c r="J309" s="50">
        <f t="shared" ref="J309:J328" si="173">J$278+J$4/H$4/100</f>
        <v>5.6874999999999995E-2</v>
      </c>
      <c r="K309" s="4"/>
      <c r="L309" s="14">
        <v>305</v>
      </c>
      <c r="M309" s="12">
        <v>42309</v>
      </c>
      <c r="N309" s="50">
        <f>N$278+N$4/L$4/100</f>
        <v>4.8125000000000015E-2</v>
      </c>
      <c r="O309" s="141"/>
      <c r="P309" s="14">
        <v>305</v>
      </c>
      <c r="Q309" s="12">
        <v>41944</v>
      </c>
      <c r="R309" s="50">
        <f t="shared" ref="R309:R328" si="174">R$278+R$4/P$4/100</f>
        <v>4.4625000000000012E-2</v>
      </c>
      <c r="S309" s="4"/>
      <c r="T309" s="14">
        <v>305</v>
      </c>
      <c r="U309" s="12">
        <v>42309</v>
      </c>
      <c r="V309" s="50">
        <f>V$278+V$4/T$4/100</f>
        <v>4.4625000000000012E-2</v>
      </c>
      <c r="AA309" s="51">
        <v>305</v>
      </c>
      <c r="AB309" s="12">
        <v>41213</v>
      </c>
      <c r="AC309" s="15">
        <f t="shared" si="171"/>
        <v>6.0833333333333323E-2</v>
      </c>
      <c r="AI309" s="255">
        <v>305</v>
      </c>
      <c r="AJ309" s="258">
        <v>42309</v>
      </c>
      <c r="AK309" s="256">
        <f t="shared" si="165"/>
        <v>7.4166666666666672E-2</v>
      </c>
      <c r="AL309" s="253">
        <v>42675</v>
      </c>
      <c r="AM309" s="256">
        <f t="shared" si="162"/>
        <v>4.250000000000001E-2</v>
      </c>
      <c r="AO309" s="258">
        <v>42309</v>
      </c>
      <c r="AP309" s="256">
        <f t="shared" si="163"/>
        <v>0.13166666666666663</v>
      </c>
      <c r="AQ309" s="253">
        <v>42675</v>
      </c>
      <c r="AR309" s="256">
        <f t="shared" si="164"/>
        <v>3.9166666666666662E-2</v>
      </c>
    </row>
    <row r="310" spans="4:44" hidden="1" x14ac:dyDescent="0.2">
      <c r="D310" s="14">
        <v>306</v>
      </c>
      <c r="E310" s="12">
        <v>41580</v>
      </c>
      <c r="F310" s="15">
        <f t="shared" si="172"/>
        <v>6.0374999999999998E-2</v>
      </c>
      <c r="H310" s="14">
        <v>306</v>
      </c>
      <c r="I310" s="12">
        <v>41945</v>
      </c>
      <c r="J310" s="15">
        <f t="shared" si="173"/>
        <v>5.6874999999999995E-2</v>
      </c>
      <c r="K310" s="4"/>
      <c r="L310" s="14">
        <v>306</v>
      </c>
      <c r="M310" s="12">
        <v>42310</v>
      </c>
      <c r="N310" s="15">
        <f t="shared" ref="N310:N328" si="175">N$278+N$4/L$4/100</f>
        <v>4.8125000000000015E-2</v>
      </c>
      <c r="O310" s="141"/>
      <c r="P310" s="14">
        <v>306</v>
      </c>
      <c r="Q310" s="12">
        <v>41945</v>
      </c>
      <c r="R310" s="15">
        <f t="shared" si="174"/>
        <v>4.4625000000000012E-2</v>
      </c>
      <c r="S310" s="4"/>
      <c r="T310" s="14">
        <v>306</v>
      </c>
      <c r="U310" s="12">
        <v>42310</v>
      </c>
      <c r="V310" s="15">
        <f t="shared" ref="V310:V328" si="176">V$278+V$4/T$4/100</f>
        <v>4.4625000000000012E-2</v>
      </c>
      <c r="AA310" s="51">
        <v>306</v>
      </c>
      <c r="AB310" s="49">
        <v>41214</v>
      </c>
      <c r="AC310" s="50">
        <f>AC$279+AC$4/AA$4/100</f>
        <v>6.3874999999999987E-2</v>
      </c>
      <c r="AI310" s="255">
        <v>306</v>
      </c>
      <c r="AJ310" s="253">
        <v>42310</v>
      </c>
      <c r="AK310" s="256">
        <f t="shared" si="165"/>
        <v>7.4166666666666672E-2</v>
      </c>
      <c r="AL310" s="253">
        <v>42676</v>
      </c>
      <c r="AM310" s="256">
        <f t="shared" si="162"/>
        <v>4.250000000000001E-2</v>
      </c>
      <c r="AO310" s="253">
        <v>42310</v>
      </c>
      <c r="AP310" s="256">
        <f t="shared" si="163"/>
        <v>0.13166666666666663</v>
      </c>
      <c r="AQ310" s="253">
        <v>42676</v>
      </c>
      <c r="AR310" s="256">
        <f t="shared" si="164"/>
        <v>3.9166666666666662E-2</v>
      </c>
    </row>
    <row r="311" spans="4:44" hidden="1" x14ac:dyDescent="0.2">
      <c r="D311" s="14">
        <v>307</v>
      </c>
      <c r="E311" s="12">
        <v>41581</v>
      </c>
      <c r="F311" s="15">
        <f t="shared" si="172"/>
        <v>6.0374999999999998E-2</v>
      </c>
      <c r="H311" s="14">
        <v>307</v>
      </c>
      <c r="I311" s="12">
        <v>41946</v>
      </c>
      <c r="J311" s="15">
        <f t="shared" si="173"/>
        <v>5.6874999999999995E-2</v>
      </c>
      <c r="K311" s="4"/>
      <c r="L311" s="14">
        <v>307</v>
      </c>
      <c r="M311" s="12">
        <v>42311</v>
      </c>
      <c r="N311" s="15">
        <f t="shared" si="175"/>
        <v>4.8125000000000015E-2</v>
      </c>
      <c r="O311" s="141"/>
      <c r="P311" s="14">
        <v>307</v>
      </c>
      <c r="Q311" s="12">
        <v>41946</v>
      </c>
      <c r="R311" s="15">
        <f t="shared" si="174"/>
        <v>4.4625000000000012E-2</v>
      </c>
      <c r="S311" s="4"/>
      <c r="T311" s="14">
        <v>307</v>
      </c>
      <c r="U311" s="12">
        <v>42311</v>
      </c>
      <c r="V311" s="15">
        <f t="shared" si="176"/>
        <v>4.4625000000000012E-2</v>
      </c>
      <c r="AA311" s="14">
        <v>307</v>
      </c>
      <c r="AB311" s="12">
        <v>41215</v>
      </c>
      <c r="AC311" s="15">
        <f t="shared" ref="AC311:AC328" si="177">AC$279+AC$4/AA$4/100</f>
        <v>6.3874999999999987E-2</v>
      </c>
      <c r="AI311" s="255">
        <v>307</v>
      </c>
      <c r="AJ311" s="253">
        <v>42311</v>
      </c>
      <c r="AK311" s="256">
        <f t="shared" si="165"/>
        <v>7.4166666666666672E-2</v>
      </c>
      <c r="AL311" s="253">
        <v>42677</v>
      </c>
      <c r="AM311" s="256">
        <f t="shared" si="162"/>
        <v>4.250000000000001E-2</v>
      </c>
      <c r="AO311" s="253">
        <v>42311</v>
      </c>
      <c r="AP311" s="256">
        <f t="shared" si="163"/>
        <v>0.13166666666666663</v>
      </c>
      <c r="AQ311" s="253">
        <v>42677</v>
      </c>
      <c r="AR311" s="256">
        <f t="shared" si="164"/>
        <v>3.9166666666666662E-2</v>
      </c>
    </row>
    <row r="312" spans="4:44" hidden="1" x14ac:dyDescent="0.2">
      <c r="D312" s="14">
        <v>308</v>
      </c>
      <c r="E312" s="12">
        <v>41582</v>
      </c>
      <c r="F312" s="15">
        <f t="shared" si="172"/>
        <v>6.0374999999999998E-2</v>
      </c>
      <c r="H312" s="14">
        <v>308</v>
      </c>
      <c r="I312" s="12">
        <v>41947</v>
      </c>
      <c r="J312" s="15">
        <f t="shared" si="173"/>
        <v>5.6874999999999995E-2</v>
      </c>
      <c r="K312" s="4"/>
      <c r="L312" s="14">
        <v>308</v>
      </c>
      <c r="M312" s="12">
        <v>42312</v>
      </c>
      <c r="N312" s="15">
        <f t="shared" si="175"/>
        <v>4.8125000000000015E-2</v>
      </c>
      <c r="O312" s="141"/>
      <c r="P312" s="14">
        <v>308</v>
      </c>
      <c r="Q312" s="12">
        <v>41947</v>
      </c>
      <c r="R312" s="15">
        <f t="shared" si="174"/>
        <v>4.4625000000000012E-2</v>
      </c>
      <c r="S312" s="4"/>
      <c r="T312" s="14">
        <v>308</v>
      </c>
      <c r="U312" s="12">
        <v>42312</v>
      </c>
      <c r="V312" s="15">
        <f t="shared" si="176"/>
        <v>4.4625000000000012E-2</v>
      </c>
      <c r="AA312" s="14">
        <v>308</v>
      </c>
      <c r="AB312" s="12">
        <v>41216</v>
      </c>
      <c r="AC312" s="15">
        <f t="shared" si="177"/>
        <v>6.3874999999999987E-2</v>
      </c>
      <c r="AI312" s="255">
        <v>308</v>
      </c>
      <c r="AJ312" s="253">
        <v>42312</v>
      </c>
      <c r="AK312" s="256">
        <f t="shared" si="165"/>
        <v>7.4166666666666672E-2</v>
      </c>
      <c r="AL312" s="253">
        <v>42678</v>
      </c>
      <c r="AM312" s="256">
        <f t="shared" si="162"/>
        <v>4.250000000000001E-2</v>
      </c>
      <c r="AO312" s="253">
        <v>42312</v>
      </c>
      <c r="AP312" s="256">
        <f t="shared" si="163"/>
        <v>0.13166666666666663</v>
      </c>
      <c r="AQ312" s="253">
        <v>42678</v>
      </c>
      <c r="AR312" s="256">
        <f t="shared" si="164"/>
        <v>3.9166666666666662E-2</v>
      </c>
    </row>
    <row r="313" spans="4:44" hidden="1" x14ac:dyDescent="0.2">
      <c r="D313" s="14">
        <v>309</v>
      </c>
      <c r="E313" s="12">
        <v>41583</v>
      </c>
      <c r="F313" s="15">
        <f t="shared" si="172"/>
        <v>6.0374999999999998E-2</v>
      </c>
      <c r="H313" s="14">
        <v>309</v>
      </c>
      <c r="I313" s="12">
        <v>41948</v>
      </c>
      <c r="J313" s="15">
        <f t="shared" si="173"/>
        <v>5.6874999999999995E-2</v>
      </c>
      <c r="K313" s="4"/>
      <c r="L313" s="14">
        <v>309</v>
      </c>
      <c r="M313" s="12">
        <v>42313</v>
      </c>
      <c r="N313" s="15">
        <f t="shared" si="175"/>
        <v>4.8125000000000015E-2</v>
      </c>
      <c r="O313" s="141"/>
      <c r="P313" s="14">
        <v>309</v>
      </c>
      <c r="Q313" s="12">
        <v>41948</v>
      </c>
      <c r="R313" s="15">
        <f t="shared" si="174"/>
        <v>4.4625000000000012E-2</v>
      </c>
      <c r="S313" s="4"/>
      <c r="T313" s="14">
        <v>309</v>
      </c>
      <c r="U313" s="12">
        <v>42313</v>
      </c>
      <c r="V313" s="15">
        <f t="shared" si="176"/>
        <v>4.4625000000000012E-2</v>
      </c>
      <c r="AA313" s="14">
        <v>309</v>
      </c>
      <c r="AB313" s="12">
        <v>41217</v>
      </c>
      <c r="AC313" s="15">
        <f t="shared" si="177"/>
        <v>6.3874999999999987E-2</v>
      </c>
      <c r="AI313" s="255">
        <v>309</v>
      </c>
      <c r="AJ313" s="253">
        <v>42313</v>
      </c>
      <c r="AK313" s="256">
        <f t="shared" si="165"/>
        <v>7.4166666666666672E-2</v>
      </c>
      <c r="AL313" s="253">
        <v>42679</v>
      </c>
      <c r="AM313" s="256">
        <f t="shared" si="162"/>
        <v>4.250000000000001E-2</v>
      </c>
      <c r="AO313" s="253">
        <v>42313</v>
      </c>
      <c r="AP313" s="256">
        <f t="shared" si="163"/>
        <v>0.13166666666666663</v>
      </c>
      <c r="AQ313" s="253">
        <v>42679</v>
      </c>
      <c r="AR313" s="256">
        <f t="shared" si="164"/>
        <v>3.9166666666666662E-2</v>
      </c>
    </row>
    <row r="314" spans="4:44" hidden="1" x14ac:dyDescent="0.2">
      <c r="D314" s="14">
        <v>310</v>
      </c>
      <c r="E314" s="12">
        <v>41584</v>
      </c>
      <c r="F314" s="15">
        <f t="shared" si="172"/>
        <v>6.0374999999999998E-2</v>
      </c>
      <c r="H314" s="14">
        <v>310</v>
      </c>
      <c r="I314" s="12">
        <v>41949</v>
      </c>
      <c r="J314" s="15">
        <f t="shared" si="173"/>
        <v>5.6874999999999995E-2</v>
      </c>
      <c r="K314" s="4"/>
      <c r="L314" s="14">
        <v>310</v>
      </c>
      <c r="M314" s="12">
        <v>42314</v>
      </c>
      <c r="N314" s="15">
        <f t="shared" si="175"/>
        <v>4.8125000000000015E-2</v>
      </c>
      <c r="O314" s="141"/>
      <c r="P314" s="14">
        <v>310</v>
      </c>
      <c r="Q314" s="12">
        <v>41949</v>
      </c>
      <c r="R314" s="15">
        <f t="shared" si="174"/>
        <v>4.4625000000000012E-2</v>
      </c>
      <c r="S314" s="4"/>
      <c r="T314" s="14">
        <v>310</v>
      </c>
      <c r="U314" s="12">
        <v>42314</v>
      </c>
      <c r="V314" s="15">
        <f t="shared" si="176"/>
        <v>4.4625000000000012E-2</v>
      </c>
      <c r="AA314" s="14">
        <v>310</v>
      </c>
      <c r="AB314" s="12">
        <v>41218</v>
      </c>
      <c r="AC314" s="15">
        <f t="shared" si="177"/>
        <v>6.3874999999999987E-2</v>
      </c>
      <c r="AI314" s="255">
        <v>310</v>
      </c>
      <c r="AJ314" s="253">
        <v>42314</v>
      </c>
      <c r="AK314" s="259">
        <f>AK$313+AK$4/AI$4/100</f>
        <v>8.1583333333333341E-2</v>
      </c>
      <c r="AL314" s="253">
        <v>42680</v>
      </c>
      <c r="AM314" s="259">
        <f t="shared" ref="AM314:AM343" si="178">AM$313+AM$4/AI$4/100</f>
        <v>4.6750000000000014E-2</v>
      </c>
      <c r="AO314" s="253">
        <v>42314</v>
      </c>
      <c r="AP314" s="259">
        <f t="shared" ref="AP314:AP343" si="179">AP$313+AP$4/$AI$4/100</f>
        <v>0.14483333333333329</v>
      </c>
      <c r="AQ314" s="253">
        <v>42680</v>
      </c>
      <c r="AR314" s="259">
        <f t="shared" ref="AR314:AR343" si="180">AR$313+AR$4/$AI$4/100</f>
        <v>4.3083333333333328E-2</v>
      </c>
    </row>
    <row r="315" spans="4:44" hidden="1" x14ac:dyDescent="0.2">
      <c r="D315" s="14">
        <v>311</v>
      </c>
      <c r="E315" s="12">
        <v>41585</v>
      </c>
      <c r="F315" s="15">
        <f t="shared" si="172"/>
        <v>6.0374999999999998E-2</v>
      </c>
      <c r="H315" s="14">
        <v>311</v>
      </c>
      <c r="I315" s="12">
        <v>41950</v>
      </c>
      <c r="J315" s="15">
        <f t="shared" si="173"/>
        <v>5.6874999999999995E-2</v>
      </c>
      <c r="K315" s="4"/>
      <c r="L315" s="14">
        <v>311</v>
      </c>
      <c r="M315" s="12">
        <v>42315</v>
      </c>
      <c r="N315" s="15">
        <f t="shared" si="175"/>
        <v>4.8125000000000015E-2</v>
      </c>
      <c r="O315" s="141"/>
      <c r="P315" s="14">
        <v>311</v>
      </c>
      <c r="Q315" s="12">
        <v>41950</v>
      </c>
      <c r="R315" s="15">
        <f t="shared" si="174"/>
        <v>4.4625000000000012E-2</v>
      </c>
      <c r="S315" s="4"/>
      <c r="T315" s="14">
        <v>311</v>
      </c>
      <c r="U315" s="12">
        <v>42315</v>
      </c>
      <c r="V315" s="15">
        <f t="shared" si="176"/>
        <v>4.4625000000000012E-2</v>
      </c>
      <c r="AA315" s="14">
        <v>311</v>
      </c>
      <c r="AB315" s="12">
        <v>41219</v>
      </c>
      <c r="AC315" s="15">
        <f t="shared" si="177"/>
        <v>6.3874999999999987E-2</v>
      </c>
      <c r="AI315" s="255">
        <v>311</v>
      </c>
      <c r="AJ315" s="253">
        <v>42315</v>
      </c>
      <c r="AK315" s="256">
        <f t="shared" ref="AK315:AK343" si="181">AK$313+AK$4/AI$4/100</f>
        <v>8.1583333333333341E-2</v>
      </c>
      <c r="AL315" s="253">
        <v>42681</v>
      </c>
      <c r="AM315" s="256">
        <f t="shared" si="178"/>
        <v>4.6750000000000014E-2</v>
      </c>
      <c r="AO315" s="253">
        <v>42315</v>
      </c>
      <c r="AP315" s="256">
        <f t="shared" si="179"/>
        <v>0.14483333333333329</v>
      </c>
      <c r="AQ315" s="253">
        <v>42681</v>
      </c>
      <c r="AR315" s="256">
        <f t="shared" si="180"/>
        <v>4.3083333333333328E-2</v>
      </c>
    </row>
    <row r="316" spans="4:44" hidden="1" x14ac:dyDescent="0.2">
      <c r="D316" s="14">
        <v>312</v>
      </c>
      <c r="E316" s="12">
        <v>41586</v>
      </c>
      <c r="F316" s="15">
        <f t="shared" si="172"/>
        <v>6.0374999999999998E-2</v>
      </c>
      <c r="H316" s="14">
        <v>312</v>
      </c>
      <c r="I316" s="12">
        <v>41951</v>
      </c>
      <c r="J316" s="15">
        <f t="shared" si="173"/>
        <v>5.6874999999999995E-2</v>
      </c>
      <c r="K316" s="4"/>
      <c r="L316" s="14">
        <v>312</v>
      </c>
      <c r="M316" s="12">
        <v>42316</v>
      </c>
      <c r="N316" s="15">
        <f t="shared" si="175"/>
        <v>4.8125000000000015E-2</v>
      </c>
      <c r="O316" s="141"/>
      <c r="P316" s="14">
        <v>312</v>
      </c>
      <c r="Q316" s="12">
        <v>41951</v>
      </c>
      <c r="R316" s="15">
        <f t="shared" si="174"/>
        <v>4.4625000000000012E-2</v>
      </c>
      <c r="S316" s="4"/>
      <c r="T316" s="14">
        <v>312</v>
      </c>
      <c r="U316" s="12">
        <v>42316</v>
      </c>
      <c r="V316" s="15">
        <f t="shared" si="176"/>
        <v>4.4625000000000012E-2</v>
      </c>
      <c r="AA316" s="14">
        <v>312</v>
      </c>
      <c r="AB316" s="12">
        <v>41220</v>
      </c>
      <c r="AC316" s="15">
        <f t="shared" si="177"/>
        <v>6.3874999999999987E-2</v>
      </c>
      <c r="AI316" s="255">
        <v>312</v>
      </c>
      <c r="AJ316" s="253">
        <v>42316</v>
      </c>
      <c r="AK316" s="256">
        <f t="shared" si="181"/>
        <v>8.1583333333333341E-2</v>
      </c>
      <c r="AL316" s="253">
        <v>42682</v>
      </c>
      <c r="AM316" s="256">
        <f t="shared" si="178"/>
        <v>4.6750000000000014E-2</v>
      </c>
      <c r="AO316" s="253">
        <v>42316</v>
      </c>
      <c r="AP316" s="256">
        <f t="shared" si="179"/>
        <v>0.14483333333333329</v>
      </c>
      <c r="AQ316" s="253">
        <v>42682</v>
      </c>
      <c r="AR316" s="256">
        <f t="shared" si="180"/>
        <v>4.3083333333333328E-2</v>
      </c>
    </row>
    <row r="317" spans="4:44" hidden="1" x14ac:dyDescent="0.2">
      <c r="D317" s="14">
        <v>313</v>
      </c>
      <c r="E317" s="12">
        <v>41587</v>
      </c>
      <c r="F317" s="15">
        <f t="shared" si="172"/>
        <v>6.0374999999999998E-2</v>
      </c>
      <c r="H317" s="14">
        <v>313</v>
      </c>
      <c r="I317" s="12">
        <v>41952</v>
      </c>
      <c r="J317" s="15">
        <f t="shared" si="173"/>
        <v>5.6874999999999995E-2</v>
      </c>
      <c r="K317" s="4"/>
      <c r="L317" s="14">
        <v>313</v>
      </c>
      <c r="M317" s="12">
        <v>42317</v>
      </c>
      <c r="N317" s="15">
        <f t="shared" si="175"/>
        <v>4.8125000000000015E-2</v>
      </c>
      <c r="O317" s="141"/>
      <c r="P317" s="14">
        <v>313</v>
      </c>
      <c r="Q317" s="12">
        <v>41952</v>
      </c>
      <c r="R317" s="15">
        <f t="shared" si="174"/>
        <v>4.4625000000000012E-2</v>
      </c>
      <c r="S317" s="4"/>
      <c r="T317" s="14">
        <v>313</v>
      </c>
      <c r="U317" s="12">
        <v>42317</v>
      </c>
      <c r="V317" s="15">
        <f t="shared" si="176"/>
        <v>4.4625000000000012E-2</v>
      </c>
      <c r="AA317" s="14">
        <v>313</v>
      </c>
      <c r="AB317" s="12">
        <v>41221</v>
      </c>
      <c r="AC317" s="15">
        <f t="shared" si="177"/>
        <v>6.3874999999999987E-2</v>
      </c>
      <c r="AI317" s="255">
        <v>313</v>
      </c>
      <c r="AJ317" s="253">
        <v>42317</v>
      </c>
      <c r="AK317" s="256">
        <f t="shared" si="181"/>
        <v>8.1583333333333341E-2</v>
      </c>
      <c r="AL317" s="253">
        <v>42683</v>
      </c>
      <c r="AM317" s="256">
        <f t="shared" si="178"/>
        <v>4.6750000000000014E-2</v>
      </c>
      <c r="AO317" s="253">
        <v>42317</v>
      </c>
      <c r="AP317" s="256">
        <f t="shared" si="179"/>
        <v>0.14483333333333329</v>
      </c>
      <c r="AQ317" s="253">
        <v>42683</v>
      </c>
      <c r="AR317" s="256">
        <f t="shared" si="180"/>
        <v>4.3083333333333328E-2</v>
      </c>
    </row>
    <row r="318" spans="4:44" hidden="1" x14ac:dyDescent="0.2">
      <c r="D318" s="14">
        <v>314</v>
      </c>
      <c r="E318" s="12">
        <v>41588</v>
      </c>
      <c r="F318" s="15">
        <f t="shared" si="172"/>
        <v>6.0374999999999998E-2</v>
      </c>
      <c r="H318" s="14">
        <v>314</v>
      </c>
      <c r="I318" s="12">
        <v>41953</v>
      </c>
      <c r="J318" s="15">
        <f t="shared" si="173"/>
        <v>5.6874999999999995E-2</v>
      </c>
      <c r="K318" s="4"/>
      <c r="L318" s="14">
        <v>314</v>
      </c>
      <c r="M318" s="12">
        <v>42318</v>
      </c>
      <c r="N318" s="15">
        <f t="shared" si="175"/>
        <v>4.8125000000000015E-2</v>
      </c>
      <c r="O318" s="141"/>
      <c r="P318" s="14">
        <v>314</v>
      </c>
      <c r="Q318" s="12">
        <v>41953</v>
      </c>
      <c r="R318" s="15">
        <f t="shared" si="174"/>
        <v>4.4625000000000012E-2</v>
      </c>
      <c r="S318" s="4"/>
      <c r="T318" s="14">
        <v>314</v>
      </c>
      <c r="U318" s="12">
        <v>42318</v>
      </c>
      <c r="V318" s="15">
        <f t="shared" si="176"/>
        <v>4.4625000000000012E-2</v>
      </c>
      <c r="AA318" s="14">
        <v>314</v>
      </c>
      <c r="AB318" s="12">
        <v>41222</v>
      </c>
      <c r="AC318" s="15">
        <f t="shared" si="177"/>
        <v>6.3874999999999987E-2</v>
      </c>
      <c r="AI318" s="255">
        <v>314</v>
      </c>
      <c r="AJ318" s="253">
        <v>42318</v>
      </c>
      <c r="AK318" s="256">
        <f t="shared" si="181"/>
        <v>8.1583333333333341E-2</v>
      </c>
      <c r="AL318" s="253">
        <v>42684</v>
      </c>
      <c r="AM318" s="256">
        <f t="shared" si="178"/>
        <v>4.6750000000000014E-2</v>
      </c>
      <c r="AO318" s="253">
        <v>42318</v>
      </c>
      <c r="AP318" s="256">
        <f t="shared" si="179"/>
        <v>0.14483333333333329</v>
      </c>
      <c r="AQ318" s="253">
        <v>42684</v>
      </c>
      <c r="AR318" s="256">
        <f t="shared" si="180"/>
        <v>4.3083333333333328E-2</v>
      </c>
    </row>
    <row r="319" spans="4:44" hidden="1" x14ac:dyDescent="0.2">
      <c r="D319" s="14">
        <v>315</v>
      </c>
      <c r="E319" s="12">
        <v>41589</v>
      </c>
      <c r="F319" s="15">
        <f t="shared" si="172"/>
        <v>6.0374999999999998E-2</v>
      </c>
      <c r="H319" s="14">
        <v>315</v>
      </c>
      <c r="I319" s="12">
        <v>41954</v>
      </c>
      <c r="J319" s="15">
        <f t="shared" si="173"/>
        <v>5.6874999999999995E-2</v>
      </c>
      <c r="K319" s="4"/>
      <c r="L319" s="14">
        <v>315</v>
      </c>
      <c r="M319" s="12">
        <v>42319</v>
      </c>
      <c r="N319" s="15">
        <f t="shared" si="175"/>
        <v>4.8125000000000015E-2</v>
      </c>
      <c r="O319" s="141"/>
      <c r="P319" s="14">
        <v>315</v>
      </c>
      <c r="Q319" s="12">
        <v>41954</v>
      </c>
      <c r="R319" s="15">
        <f t="shared" si="174"/>
        <v>4.4625000000000012E-2</v>
      </c>
      <c r="S319" s="4"/>
      <c r="T319" s="14">
        <v>315</v>
      </c>
      <c r="U319" s="12">
        <v>42319</v>
      </c>
      <c r="V319" s="15">
        <f t="shared" si="176"/>
        <v>4.4625000000000012E-2</v>
      </c>
      <c r="AA319" s="14">
        <v>315</v>
      </c>
      <c r="AB319" s="12">
        <v>41223</v>
      </c>
      <c r="AC319" s="15">
        <f t="shared" si="177"/>
        <v>6.3874999999999987E-2</v>
      </c>
      <c r="AI319" s="255">
        <v>315</v>
      </c>
      <c r="AJ319" s="253">
        <v>42319</v>
      </c>
      <c r="AK319" s="256">
        <f t="shared" si="181"/>
        <v>8.1583333333333341E-2</v>
      </c>
      <c r="AL319" s="253">
        <v>42685</v>
      </c>
      <c r="AM319" s="256">
        <f t="shared" si="178"/>
        <v>4.6750000000000014E-2</v>
      </c>
      <c r="AO319" s="253">
        <v>42319</v>
      </c>
      <c r="AP319" s="256">
        <f t="shared" si="179"/>
        <v>0.14483333333333329</v>
      </c>
      <c r="AQ319" s="253">
        <v>42685</v>
      </c>
      <c r="AR319" s="256">
        <f t="shared" si="180"/>
        <v>4.3083333333333328E-2</v>
      </c>
    </row>
    <row r="320" spans="4:44" hidden="1" x14ac:dyDescent="0.2">
      <c r="D320" s="14">
        <v>316</v>
      </c>
      <c r="E320" s="12">
        <v>41590</v>
      </c>
      <c r="F320" s="15">
        <f t="shared" si="172"/>
        <v>6.0374999999999998E-2</v>
      </c>
      <c r="H320" s="14">
        <v>316</v>
      </c>
      <c r="I320" s="12">
        <v>41955</v>
      </c>
      <c r="J320" s="15">
        <f t="shared" si="173"/>
        <v>5.6874999999999995E-2</v>
      </c>
      <c r="K320" s="4"/>
      <c r="L320" s="14">
        <v>316</v>
      </c>
      <c r="M320" s="12">
        <v>42320</v>
      </c>
      <c r="N320" s="15">
        <f t="shared" si="175"/>
        <v>4.8125000000000015E-2</v>
      </c>
      <c r="O320" s="141"/>
      <c r="P320" s="14">
        <v>316</v>
      </c>
      <c r="Q320" s="12">
        <v>41955</v>
      </c>
      <c r="R320" s="15">
        <f t="shared" si="174"/>
        <v>4.4625000000000012E-2</v>
      </c>
      <c r="S320" s="4"/>
      <c r="T320" s="14">
        <v>316</v>
      </c>
      <c r="U320" s="12">
        <v>42320</v>
      </c>
      <c r="V320" s="15">
        <f t="shared" si="176"/>
        <v>4.4625000000000012E-2</v>
      </c>
      <c r="AA320" s="14">
        <v>316</v>
      </c>
      <c r="AB320" s="12">
        <v>41224</v>
      </c>
      <c r="AC320" s="15">
        <f t="shared" si="177"/>
        <v>6.3874999999999987E-2</v>
      </c>
      <c r="AI320" s="255">
        <v>316</v>
      </c>
      <c r="AJ320" s="253">
        <v>42320</v>
      </c>
      <c r="AK320" s="256">
        <f t="shared" si="181"/>
        <v>8.1583333333333341E-2</v>
      </c>
      <c r="AL320" s="253">
        <v>42686</v>
      </c>
      <c r="AM320" s="256">
        <f t="shared" si="178"/>
        <v>4.6750000000000014E-2</v>
      </c>
      <c r="AO320" s="253">
        <v>42320</v>
      </c>
      <c r="AP320" s="256">
        <f t="shared" si="179"/>
        <v>0.14483333333333329</v>
      </c>
      <c r="AQ320" s="253">
        <v>42686</v>
      </c>
      <c r="AR320" s="256">
        <f t="shared" si="180"/>
        <v>4.3083333333333328E-2</v>
      </c>
    </row>
    <row r="321" spans="4:44" hidden="1" x14ac:dyDescent="0.2">
      <c r="D321" s="14">
        <v>317</v>
      </c>
      <c r="E321" s="12">
        <v>41591</v>
      </c>
      <c r="F321" s="15">
        <f t="shared" si="172"/>
        <v>6.0374999999999998E-2</v>
      </c>
      <c r="H321" s="14">
        <v>317</v>
      </c>
      <c r="I321" s="12">
        <v>41956</v>
      </c>
      <c r="J321" s="15">
        <f t="shared" si="173"/>
        <v>5.6874999999999995E-2</v>
      </c>
      <c r="K321" s="4"/>
      <c r="L321" s="14">
        <v>317</v>
      </c>
      <c r="M321" s="12">
        <v>42321</v>
      </c>
      <c r="N321" s="15">
        <f t="shared" si="175"/>
        <v>4.8125000000000015E-2</v>
      </c>
      <c r="O321" s="141"/>
      <c r="P321" s="14">
        <v>317</v>
      </c>
      <c r="Q321" s="12">
        <v>41956</v>
      </c>
      <c r="R321" s="15">
        <f t="shared" si="174"/>
        <v>4.4625000000000012E-2</v>
      </c>
      <c r="S321" s="4"/>
      <c r="T321" s="14">
        <v>317</v>
      </c>
      <c r="U321" s="12">
        <v>42321</v>
      </c>
      <c r="V321" s="15">
        <f t="shared" si="176"/>
        <v>4.4625000000000012E-2</v>
      </c>
      <c r="AA321" s="14">
        <v>317</v>
      </c>
      <c r="AB321" s="12">
        <v>41225</v>
      </c>
      <c r="AC321" s="15">
        <f t="shared" si="177"/>
        <v>6.3874999999999987E-2</v>
      </c>
      <c r="AI321" s="255">
        <v>317</v>
      </c>
      <c r="AJ321" s="253">
        <v>42321</v>
      </c>
      <c r="AK321" s="256">
        <f t="shared" si="181"/>
        <v>8.1583333333333341E-2</v>
      </c>
      <c r="AL321" s="253">
        <v>42687</v>
      </c>
      <c r="AM321" s="256">
        <f t="shared" si="178"/>
        <v>4.6750000000000014E-2</v>
      </c>
      <c r="AO321" s="253">
        <v>42321</v>
      </c>
      <c r="AP321" s="256">
        <f t="shared" si="179"/>
        <v>0.14483333333333329</v>
      </c>
      <c r="AQ321" s="253">
        <v>42687</v>
      </c>
      <c r="AR321" s="256">
        <f t="shared" si="180"/>
        <v>4.3083333333333328E-2</v>
      </c>
    </row>
    <row r="322" spans="4:44" hidden="1" x14ac:dyDescent="0.2">
      <c r="D322" s="14">
        <v>318</v>
      </c>
      <c r="E322" s="12">
        <v>41592</v>
      </c>
      <c r="F322" s="15">
        <f t="shared" si="172"/>
        <v>6.0374999999999998E-2</v>
      </c>
      <c r="H322" s="14">
        <v>318</v>
      </c>
      <c r="I322" s="12">
        <v>41957</v>
      </c>
      <c r="J322" s="15">
        <f t="shared" si="173"/>
        <v>5.6874999999999995E-2</v>
      </c>
      <c r="K322" s="4"/>
      <c r="L322" s="14">
        <v>318</v>
      </c>
      <c r="M322" s="12">
        <v>42322</v>
      </c>
      <c r="N322" s="15">
        <f t="shared" si="175"/>
        <v>4.8125000000000015E-2</v>
      </c>
      <c r="O322" s="141"/>
      <c r="P322" s="14">
        <v>318</v>
      </c>
      <c r="Q322" s="12">
        <v>41957</v>
      </c>
      <c r="R322" s="15">
        <f t="shared" si="174"/>
        <v>4.4625000000000012E-2</v>
      </c>
      <c r="S322" s="4"/>
      <c r="T322" s="14">
        <v>318</v>
      </c>
      <c r="U322" s="12">
        <v>42322</v>
      </c>
      <c r="V322" s="15">
        <f t="shared" si="176"/>
        <v>4.4625000000000012E-2</v>
      </c>
      <c r="AA322" s="14">
        <v>318</v>
      </c>
      <c r="AB322" s="12">
        <v>41226</v>
      </c>
      <c r="AC322" s="15">
        <f t="shared" si="177"/>
        <v>6.3874999999999987E-2</v>
      </c>
      <c r="AI322" s="255">
        <v>318</v>
      </c>
      <c r="AJ322" s="253">
        <v>42322</v>
      </c>
      <c r="AK322" s="256">
        <f t="shared" si="181"/>
        <v>8.1583333333333341E-2</v>
      </c>
      <c r="AL322" s="253">
        <v>42688</v>
      </c>
      <c r="AM322" s="256">
        <f t="shared" si="178"/>
        <v>4.6750000000000014E-2</v>
      </c>
      <c r="AO322" s="253">
        <v>42322</v>
      </c>
      <c r="AP322" s="256">
        <f t="shared" si="179"/>
        <v>0.14483333333333329</v>
      </c>
      <c r="AQ322" s="253">
        <v>42688</v>
      </c>
      <c r="AR322" s="256">
        <f t="shared" si="180"/>
        <v>4.3083333333333328E-2</v>
      </c>
    </row>
    <row r="323" spans="4:44" hidden="1" x14ac:dyDescent="0.2">
      <c r="D323" s="14">
        <v>319</v>
      </c>
      <c r="E323" s="12">
        <v>41593</v>
      </c>
      <c r="F323" s="15">
        <f t="shared" si="172"/>
        <v>6.0374999999999998E-2</v>
      </c>
      <c r="H323" s="14">
        <v>319</v>
      </c>
      <c r="I323" s="12">
        <v>41958</v>
      </c>
      <c r="J323" s="15">
        <f t="shared" si="173"/>
        <v>5.6874999999999995E-2</v>
      </c>
      <c r="K323" s="4"/>
      <c r="L323" s="14">
        <v>319</v>
      </c>
      <c r="M323" s="12">
        <v>42323</v>
      </c>
      <c r="N323" s="15">
        <f t="shared" si="175"/>
        <v>4.8125000000000015E-2</v>
      </c>
      <c r="O323" s="141"/>
      <c r="P323" s="14">
        <v>319</v>
      </c>
      <c r="Q323" s="12">
        <v>41958</v>
      </c>
      <c r="R323" s="15">
        <f t="shared" si="174"/>
        <v>4.4625000000000012E-2</v>
      </c>
      <c r="S323" s="4"/>
      <c r="T323" s="14">
        <v>319</v>
      </c>
      <c r="U323" s="12">
        <v>42323</v>
      </c>
      <c r="V323" s="15">
        <f t="shared" si="176"/>
        <v>4.4625000000000012E-2</v>
      </c>
      <c r="AA323" s="14">
        <v>319</v>
      </c>
      <c r="AB323" s="12">
        <v>41227</v>
      </c>
      <c r="AC323" s="15">
        <f t="shared" si="177"/>
        <v>6.3874999999999987E-2</v>
      </c>
      <c r="AI323" s="255">
        <v>319</v>
      </c>
      <c r="AJ323" s="253">
        <v>42323</v>
      </c>
      <c r="AK323" s="256">
        <f t="shared" si="181"/>
        <v>8.1583333333333341E-2</v>
      </c>
      <c r="AL323" s="253">
        <v>42689</v>
      </c>
      <c r="AM323" s="256">
        <f t="shared" si="178"/>
        <v>4.6750000000000014E-2</v>
      </c>
      <c r="AO323" s="253">
        <v>42323</v>
      </c>
      <c r="AP323" s="256">
        <f t="shared" si="179"/>
        <v>0.14483333333333329</v>
      </c>
      <c r="AQ323" s="253">
        <v>42689</v>
      </c>
      <c r="AR323" s="256">
        <f t="shared" si="180"/>
        <v>4.3083333333333328E-2</v>
      </c>
    </row>
    <row r="324" spans="4:44" hidden="1" x14ac:dyDescent="0.2">
      <c r="D324" s="14">
        <v>320</v>
      </c>
      <c r="E324" s="12">
        <v>41594</v>
      </c>
      <c r="F324" s="15">
        <f t="shared" si="172"/>
        <v>6.0374999999999998E-2</v>
      </c>
      <c r="H324" s="14">
        <v>320</v>
      </c>
      <c r="I324" s="12">
        <v>41959</v>
      </c>
      <c r="J324" s="15">
        <f t="shared" si="173"/>
        <v>5.6874999999999995E-2</v>
      </c>
      <c r="K324" s="4"/>
      <c r="L324" s="14">
        <v>320</v>
      </c>
      <c r="M324" s="12">
        <v>42324</v>
      </c>
      <c r="N324" s="15">
        <f t="shared" si="175"/>
        <v>4.8125000000000015E-2</v>
      </c>
      <c r="O324" s="141"/>
      <c r="P324" s="14">
        <v>320</v>
      </c>
      <c r="Q324" s="12">
        <v>41959</v>
      </c>
      <c r="R324" s="15">
        <f t="shared" si="174"/>
        <v>4.4625000000000012E-2</v>
      </c>
      <c r="S324" s="4"/>
      <c r="T324" s="14">
        <v>320</v>
      </c>
      <c r="U324" s="12">
        <v>42324</v>
      </c>
      <c r="V324" s="15">
        <f t="shared" si="176"/>
        <v>4.4625000000000012E-2</v>
      </c>
      <c r="AA324" s="14">
        <v>320</v>
      </c>
      <c r="AB324" s="12">
        <v>41228</v>
      </c>
      <c r="AC324" s="15">
        <f t="shared" si="177"/>
        <v>6.3874999999999987E-2</v>
      </c>
      <c r="AI324" s="255">
        <v>320</v>
      </c>
      <c r="AJ324" s="253">
        <v>42324</v>
      </c>
      <c r="AK324" s="256">
        <f t="shared" si="181"/>
        <v>8.1583333333333341E-2</v>
      </c>
      <c r="AL324" s="253">
        <v>42690</v>
      </c>
      <c r="AM324" s="256">
        <f t="shared" si="178"/>
        <v>4.6750000000000014E-2</v>
      </c>
      <c r="AO324" s="253">
        <v>42324</v>
      </c>
      <c r="AP324" s="256">
        <f t="shared" si="179"/>
        <v>0.14483333333333329</v>
      </c>
      <c r="AQ324" s="253">
        <v>42690</v>
      </c>
      <c r="AR324" s="256">
        <f t="shared" si="180"/>
        <v>4.3083333333333328E-2</v>
      </c>
    </row>
    <row r="325" spans="4:44" hidden="1" x14ac:dyDescent="0.2">
      <c r="D325" s="14">
        <v>321</v>
      </c>
      <c r="E325" s="12">
        <v>41595</v>
      </c>
      <c r="F325" s="15">
        <f t="shared" si="172"/>
        <v>6.0374999999999998E-2</v>
      </c>
      <c r="H325" s="14">
        <v>321</v>
      </c>
      <c r="I325" s="12">
        <v>41960</v>
      </c>
      <c r="J325" s="15">
        <f t="shared" si="173"/>
        <v>5.6874999999999995E-2</v>
      </c>
      <c r="K325" s="4"/>
      <c r="L325" s="14">
        <v>321</v>
      </c>
      <c r="M325" s="12">
        <v>42325</v>
      </c>
      <c r="N325" s="15">
        <f t="shared" si="175"/>
        <v>4.8125000000000015E-2</v>
      </c>
      <c r="O325" s="141"/>
      <c r="P325" s="14">
        <v>321</v>
      </c>
      <c r="Q325" s="12">
        <v>41960</v>
      </c>
      <c r="R325" s="15">
        <f t="shared" si="174"/>
        <v>4.4625000000000012E-2</v>
      </c>
      <c r="S325" s="4"/>
      <c r="T325" s="14">
        <v>321</v>
      </c>
      <c r="U325" s="12">
        <v>42325</v>
      </c>
      <c r="V325" s="15">
        <f t="shared" si="176"/>
        <v>4.4625000000000012E-2</v>
      </c>
      <c r="AA325" s="14">
        <v>321</v>
      </c>
      <c r="AB325" s="12">
        <v>41229</v>
      </c>
      <c r="AC325" s="15">
        <f t="shared" si="177"/>
        <v>6.3874999999999987E-2</v>
      </c>
      <c r="AI325" s="255">
        <v>321</v>
      </c>
      <c r="AJ325" s="253">
        <v>42325</v>
      </c>
      <c r="AK325" s="256">
        <f t="shared" si="181"/>
        <v>8.1583333333333341E-2</v>
      </c>
      <c r="AL325" s="253">
        <v>42691</v>
      </c>
      <c r="AM325" s="256">
        <f t="shared" si="178"/>
        <v>4.6750000000000014E-2</v>
      </c>
      <c r="AO325" s="253">
        <v>42325</v>
      </c>
      <c r="AP325" s="256">
        <f t="shared" si="179"/>
        <v>0.14483333333333329</v>
      </c>
      <c r="AQ325" s="253">
        <v>42691</v>
      </c>
      <c r="AR325" s="256">
        <f t="shared" si="180"/>
        <v>4.3083333333333328E-2</v>
      </c>
    </row>
    <row r="326" spans="4:44" hidden="1" x14ac:dyDescent="0.2">
      <c r="D326" s="14">
        <v>322</v>
      </c>
      <c r="E326" s="12">
        <v>41596</v>
      </c>
      <c r="F326" s="15">
        <f t="shared" si="172"/>
        <v>6.0374999999999998E-2</v>
      </c>
      <c r="H326" s="14">
        <v>322</v>
      </c>
      <c r="I326" s="12">
        <v>41961</v>
      </c>
      <c r="J326" s="15">
        <f t="shared" si="173"/>
        <v>5.6874999999999995E-2</v>
      </c>
      <c r="K326" s="4"/>
      <c r="L326" s="14">
        <v>322</v>
      </c>
      <c r="M326" s="12">
        <v>42326</v>
      </c>
      <c r="N326" s="15">
        <f t="shared" si="175"/>
        <v>4.8125000000000015E-2</v>
      </c>
      <c r="O326" s="141"/>
      <c r="P326" s="14">
        <v>322</v>
      </c>
      <c r="Q326" s="12">
        <v>41961</v>
      </c>
      <c r="R326" s="15">
        <f t="shared" si="174"/>
        <v>4.4625000000000012E-2</v>
      </c>
      <c r="S326" s="4"/>
      <c r="T326" s="14">
        <v>322</v>
      </c>
      <c r="U326" s="12">
        <v>42326</v>
      </c>
      <c r="V326" s="15">
        <f t="shared" si="176"/>
        <v>4.4625000000000012E-2</v>
      </c>
      <c r="AA326" s="14">
        <v>322</v>
      </c>
      <c r="AB326" s="12">
        <v>41230</v>
      </c>
      <c r="AC326" s="15">
        <f t="shared" si="177"/>
        <v>6.3874999999999987E-2</v>
      </c>
      <c r="AI326" s="255">
        <v>322</v>
      </c>
      <c r="AJ326" s="253">
        <v>42326</v>
      </c>
      <c r="AK326" s="256">
        <f t="shared" si="181"/>
        <v>8.1583333333333341E-2</v>
      </c>
      <c r="AL326" s="253">
        <v>42692</v>
      </c>
      <c r="AM326" s="256">
        <f t="shared" si="178"/>
        <v>4.6750000000000014E-2</v>
      </c>
      <c r="AO326" s="253">
        <v>42326</v>
      </c>
      <c r="AP326" s="256">
        <f t="shared" si="179"/>
        <v>0.14483333333333329</v>
      </c>
      <c r="AQ326" s="253">
        <v>42692</v>
      </c>
      <c r="AR326" s="256">
        <f t="shared" si="180"/>
        <v>4.3083333333333328E-2</v>
      </c>
    </row>
    <row r="327" spans="4:44" hidden="1" x14ac:dyDescent="0.2">
      <c r="D327" s="14">
        <v>323</v>
      </c>
      <c r="E327" s="12">
        <v>41597</v>
      </c>
      <c r="F327" s="15">
        <f t="shared" si="172"/>
        <v>6.0374999999999998E-2</v>
      </c>
      <c r="H327" s="14">
        <v>323</v>
      </c>
      <c r="I327" s="12">
        <v>41962</v>
      </c>
      <c r="J327" s="15">
        <f t="shared" si="173"/>
        <v>5.6874999999999995E-2</v>
      </c>
      <c r="K327" s="4"/>
      <c r="L327" s="14">
        <v>323</v>
      </c>
      <c r="M327" s="12">
        <v>42327</v>
      </c>
      <c r="N327" s="15">
        <f t="shared" si="175"/>
        <v>4.8125000000000015E-2</v>
      </c>
      <c r="O327" s="141"/>
      <c r="P327" s="14">
        <v>323</v>
      </c>
      <c r="Q327" s="12">
        <v>41962</v>
      </c>
      <c r="R327" s="15">
        <f t="shared" si="174"/>
        <v>4.4625000000000012E-2</v>
      </c>
      <c r="S327" s="4"/>
      <c r="T327" s="14">
        <v>323</v>
      </c>
      <c r="U327" s="12">
        <v>42327</v>
      </c>
      <c r="V327" s="15">
        <f t="shared" si="176"/>
        <v>4.4625000000000012E-2</v>
      </c>
      <c r="AA327" s="14">
        <v>323</v>
      </c>
      <c r="AB327" s="12">
        <v>41231</v>
      </c>
      <c r="AC327" s="15">
        <f t="shared" si="177"/>
        <v>6.3874999999999987E-2</v>
      </c>
      <c r="AI327" s="255">
        <v>323</v>
      </c>
      <c r="AJ327" s="253">
        <v>42327</v>
      </c>
      <c r="AK327" s="256">
        <f t="shared" si="181"/>
        <v>8.1583333333333341E-2</v>
      </c>
      <c r="AL327" s="253">
        <v>42693</v>
      </c>
      <c r="AM327" s="256">
        <f t="shared" si="178"/>
        <v>4.6750000000000014E-2</v>
      </c>
      <c r="AO327" s="253">
        <v>42327</v>
      </c>
      <c r="AP327" s="256">
        <f t="shared" si="179"/>
        <v>0.14483333333333329</v>
      </c>
      <c r="AQ327" s="253">
        <v>42693</v>
      </c>
      <c r="AR327" s="256">
        <f t="shared" si="180"/>
        <v>4.3083333333333328E-2</v>
      </c>
    </row>
    <row r="328" spans="4:44" hidden="1" x14ac:dyDescent="0.2">
      <c r="D328" s="14">
        <v>324</v>
      </c>
      <c r="E328" s="12">
        <v>41598</v>
      </c>
      <c r="F328" s="15">
        <f t="shared" si="172"/>
        <v>6.0374999999999998E-2</v>
      </c>
      <c r="H328" s="14">
        <v>324</v>
      </c>
      <c r="I328" s="12">
        <v>41963</v>
      </c>
      <c r="J328" s="15">
        <f t="shared" si="173"/>
        <v>5.6874999999999995E-2</v>
      </c>
      <c r="K328" s="4"/>
      <c r="L328" s="14">
        <v>324</v>
      </c>
      <c r="M328" s="12">
        <v>42328</v>
      </c>
      <c r="N328" s="15">
        <f t="shared" si="175"/>
        <v>4.8125000000000015E-2</v>
      </c>
      <c r="O328" s="141"/>
      <c r="P328" s="14">
        <v>324</v>
      </c>
      <c r="Q328" s="12">
        <v>41963</v>
      </c>
      <c r="R328" s="15">
        <f t="shared" si="174"/>
        <v>4.4625000000000012E-2</v>
      </c>
      <c r="S328" s="4"/>
      <c r="T328" s="14">
        <v>324</v>
      </c>
      <c r="U328" s="12">
        <v>42328</v>
      </c>
      <c r="V328" s="15">
        <f t="shared" si="176"/>
        <v>4.4625000000000012E-2</v>
      </c>
      <c r="AA328" s="14">
        <v>324</v>
      </c>
      <c r="AB328" s="12">
        <v>41232</v>
      </c>
      <c r="AC328" s="15">
        <f t="shared" si="177"/>
        <v>6.3874999999999987E-2</v>
      </c>
      <c r="AI328" s="255">
        <v>324</v>
      </c>
      <c r="AJ328" s="253">
        <v>42328</v>
      </c>
      <c r="AK328" s="256">
        <f t="shared" si="181"/>
        <v>8.1583333333333341E-2</v>
      </c>
      <c r="AL328" s="253">
        <v>42694</v>
      </c>
      <c r="AM328" s="256">
        <f t="shared" si="178"/>
        <v>4.6750000000000014E-2</v>
      </c>
      <c r="AO328" s="253">
        <v>42328</v>
      </c>
      <c r="AP328" s="256">
        <f t="shared" si="179"/>
        <v>0.14483333333333329</v>
      </c>
      <c r="AQ328" s="253">
        <v>42694</v>
      </c>
      <c r="AR328" s="256">
        <f t="shared" si="180"/>
        <v>4.3083333333333328E-2</v>
      </c>
    </row>
    <row r="329" spans="4:44" hidden="1" x14ac:dyDescent="0.2">
      <c r="D329" s="14">
        <v>325</v>
      </c>
      <c r="E329" s="12">
        <v>41599</v>
      </c>
      <c r="F329" s="50">
        <f t="shared" ref="F329:F338" si="182">F$298+F$4/D$4/100</f>
        <v>6.3250000000000001E-2</v>
      </c>
      <c r="H329" s="14">
        <v>325</v>
      </c>
      <c r="I329" s="12">
        <v>41964</v>
      </c>
      <c r="J329" s="50">
        <f t="shared" ref="J329:J338" si="183">J$298+J$4/H$4/100</f>
        <v>5.9583333333333328E-2</v>
      </c>
      <c r="K329" s="4"/>
      <c r="L329" s="14">
        <v>325</v>
      </c>
      <c r="M329" s="12">
        <v>42329</v>
      </c>
      <c r="N329" s="50">
        <f>N$298+N$4/L$4/100</f>
        <v>5.0416666666666679E-2</v>
      </c>
      <c r="O329" s="141"/>
      <c r="P329" s="14">
        <v>325</v>
      </c>
      <c r="Q329" s="12">
        <v>41964</v>
      </c>
      <c r="R329" s="50">
        <f t="shared" ref="R329:R338" si="184">R$298+R$4/P$4/100</f>
        <v>4.6750000000000014E-2</v>
      </c>
      <c r="S329" s="4"/>
      <c r="T329" s="14">
        <v>325</v>
      </c>
      <c r="U329" s="12">
        <v>42329</v>
      </c>
      <c r="V329" s="50">
        <f>V$298+V$4/T$4/100</f>
        <v>4.6750000000000014E-2</v>
      </c>
      <c r="AA329" s="51">
        <v>325</v>
      </c>
      <c r="AB329" s="12">
        <v>41233</v>
      </c>
      <c r="AC329" s="15">
        <f>AC$279+AC$4/AA$4/100</f>
        <v>6.3874999999999987E-2</v>
      </c>
      <c r="AI329" s="255">
        <v>325</v>
      </c>
      <c r="AJ329" s="253">
        <v>42329</v>
      </c>
      <c r="AK329" s="256">
        <f t="shared" si="181"/>
        <v>8.1583333333333341E-2</v>
      </c>
      <c r="AL329" s="253">
        <v>42695</v>
      </c>
      <c r="AM329" s="256">
        <f t="shared" si="178"/>
        <v>4.6750000000000014E-2</v>
      </c>
      <c r="AO329" s="253">
        <v>42329</v>
      </c>
      <c r="AP329" s="256">
        <f t="shared" si="179"/>
        <v>0.14483333333333329</v>
      </c>
      <c r="AQ329" s="253">
        <v>42695</v>
      </c>
      <c r="AR329" s="256">
        <f t="shared" si="180"/>
        <v>4.3083333333333328E-2</v>
      </c>
    </row>
    <row r="330" spans="4:44" hidden="1" x14ac:dyDescent="0.2">
      <c r="D330" s="14">
        <v>326</v>
      </c>
      <c r="E330" s="12">
        <v>41600</v>
      </c>
      <c r="F330" s="15">
        <f t="shared" si="182"/>
        <v>6.3250000000000001E-2</v>
      </c>
      <c r="H330" s="14">
        <v>326</v>
      </c>
      <c r="I330" s="12">
        <v>41965</v>
      </c>
      <c r="J330" s="15">
        <f t="shared" si="183"/>
        <v>5.9583333333333328E-2</v>
      </c>
      <c r="K330" s="4"/>
      <c r="L330" s="14">
        <v>326</v>
      </c>
      <c r="M330" s="12">
        <v>42330</v>
      </c>
      <c r="N330" s="15">
        <f t="shared" ref="N330:N338" si="185">N$298+N$4/L$4/100</f>
        <v>5.0416666666666679E-2</v>
      </c>
      <c r="O330" s="141"/>
      <c r="P330" s="14">
        <v>326</v>
      </c>
      <c r="Q330" s="12">
        <v>41965</v>
      </c>
      <c r="R330" s="15">
        <f t="shared" si="184"/>
        <v>4.6750000000000014E-2</v>
      </c>
      <c r="S330" s="4"/>
      <c r="T330" s="14">
        <v>326</v>
      </c>
      <c r="U330" s="12">
        <v>42330</v>
      </c>
      <c r="V330" s="15">
        <f t="shared" ref="V330:V338" si="186">V$298+V$4/T$4/100</f>
        <v>4.6750000000000014E-2</v>
      </c>
      <c r="AA330" s="51">
        <v>326</v>
      </c>
      <c r="AB330" s="49">
        <v>41234</v>
      </c>
      <c r="AC330" s="50">
        <f>AC$299+AC$4/AA$4/100</f>
        <v>6.6916666666666652E-2</v>
      </c>
      <c r="AI330" s="255">
        <v>326</v>
      </c>
      <c r="AJ330" s="253">
        <v>42330</v>
      </c>
      <c r="AK330" s="256">
        <f t="shared" si="181"/>
        <v>8.1583333333333341E-2</v>
      </c>
      <c r="AL330" s="253">
        <v>42696</v>
      </c>
      <c r="AM330" s="256">
        <f t="shared" si="178"/>
        <v>4.6750000000000014E-2</v>
      </c>
      <c r="AO330" s="253">
        <v>42330</v>
      </c>
      <c r="AP330" s="256">
        <f t="shared" si="179"/>
        <v>0.14483333333333329</v>
      </c>
      <c r="AQ330" s="253">
        <v>42696</v>
      </c>
      <c r="AR330" s="256">
        <f t="shared" si="180"/>
        <v>4.3083333333333328E-2</v>
      </c>
    </row>
    <row r="331" spans="4:44" hidden="1" x14ac:dyDescent="0.2">
      <c r="D331" s="14">
        <v>327</v>
      </c>
      <c r="E331" s="12">
        <v>41601</v>
      </c>
      <c r="F331" s="15">
        <f t="shared" si="182"/>
        <v>6.3250000000000001E-2</v>
      </c>
      <c r="H331" s="14">
        <v>327</v>
      </c>
      <c r="I331" s="12">
        <v>41966</v>
      </c>
      <c r="J331" s="15">
        <f t="shared" si="183"/>
        <v>5.9583333333333328E-2</v>
      </c>
      <c r="K331" s="4"/>
      <c r="L331" s="14">
        <v>327</v>
      </c>
      <c r="M331" s="12">
        <v>42331</v>
      </c>
      <c r="N331" s="15">
        <f t="shared" si="185"/>
        <v>5.0416666666666679E-2</v>
      </c>
      <c r="O331" s="141"/>
      <c r="P331" s="14">
        <v>327</v>
      </c>
      <c r="Q331" s="12">
        <v>41966</v>
      </c>
      <c r="R331" s="15">
        <f t="shared" si="184"/>
        <v>4.6750000000000014E-2</v>
      </c>
      <c r="S331" s="4"/>
      <c r="T331" s="14">
        <v>327</v>
      </c>
      <c r="U331" s="12">
        <v>42331</v>
      </c>
      <c r="V331" s="15">
        <f t="shared" si="186"/>
        <v>4.6750000000000014E-2</v>
      </c>
      <c r="AA331" s="14">
        <v>327</v>
      </c>
      <c r="AB331" s="12">
        <v>41235</v>
      </c>
      <c r="AC331" s="15">
        <f t="shared" ref="AC331:AC339" si="187">AC$299+AC$4/AA$4/100</f>
        <v>6.6916666666666652E-2</v>
      </c>
      <c r="AI331" s="255">
        <v>327</v>
      </c>
      <c r="AJ331" s="253">
        <v>42331</v>
      </c>
      <c r="AK331" s="256">
        <f t="shared" si="181"/>
        <v>8.1583333333333341E-2</v>
      </c>
      <c r="AL331" s="253">
        <v>42697</v>
      </c>
      <c r="AM331" s="256">
        <f t="shared" si="178"/>
        <v>4.6750000000000014E-2</v>
      </c>
      <c r="AO331" s="253">
        <v>42331</v>
      </c>
      <c r="AP331" s="256">
        <f t="shared" si="179"/>
        <v>0.14483333333333329</v>
      </c>
      <c r="AQ331" s="253">
        <v>42697</v>
      </c>
      <c r="AR331" s="256">
        <f t="shared" si="180"/>
        <v>4.3083333333333328E-2</v>
      </c>
    </row>
    <row r="332" spans="4:44" hidden="1" x14ac:dyDescent="0.2">
      <c r="D332" s="14">
        <v>328</v>
      </c>
      <c r="E332" s="12">
        <v>41602</v>
      </c>
      <c r="F332" s="15">
        <f t="shared" si="182"/>
        <v>6.3250000000000001E-2</v>
      </c>
      <c r="H332" s="14">
        <v>328</v>
      </c>
      <c r="I332" s="12">
        <v>41967</v>
      </c>
      <c r="J332" s="15">
        <f t="shared" si="183"/>
        <v>5.9583333333333328E-2</v>
      </c>
      <c r="K332" s="4"/>
      <c r="L332" s="14">
        <v>328</v>
      </c>
      <c r="M332" s="12">
        <v>42332</v>
      </c>
      <c r="N332" s="15">
        <f t="shared" si="185"/>
        <v>5.0416666666666679E-2</v>
      </c>
      <c r="O332" s="141"/>
      <c r="P332" s="14">
        <v>328</v>
      </c>
      <c r="Q332" s="12">
        <v>41967</v>
      </c>
      <c r="R332" s="15">
        <f t="shared" si="184"/>
        <v>4.6750000000000014E-2</v>
      </c>
      <c r="S332" s="4"/>
      <c r="T332" s="14">
        <v>328</v>
      </c>
      <c r="U332" s="12">
        <v>42332</v>
      </c>
      <c r="V332" s="15">
        <f t="shared" si="186"/>
        <v>4.6750000000000014E-2</v>
      </c>
      <c r="AA332" s="14">
        <v>328</v>
      </c>
      <c r="AB332" s="12">
        <v>41236</v>
      </c>
      <c r="AC332" s="15">
        <f t="shared" si="187"/>
        <v>6.6916666666666652E-2</v>
      </c>
      <c r="AI332" s="255">
        <v>328</v>
      </c>
      <c r="AJ332" s="253">
        <v>42332</v>
      </c>
      <c r="AK332" s="256">
        <f t="shared" si="181"/>
        <v>8.1583333333333341E-2</v>
      </c>
      <c r="AL332" s="253">
        <v>42698</v>
      </c>
      <c r="AM332" s="256">
        <f t="shared" si="178"/>
        <v>4.6750000000000014E-2</v>
      </c>
      <c r="AO332" s="253">
        <v>42332</v>
      </c>
      <c r="AP332" s="256">
        <f t="shared" si="179"/>
        <v>0.14483333333333329</v>
      </c>
      <c r="AQ332" s="253">
        <v>42698</v>
      </c>
      <c r="AR332" s="256">
        <f t="shared" si="180"/>
        <v>4.3083333333333328E-2</v>
      </c>
    </row>
    <row r="333" spans="4:44" hidden="1" x14ac:dyDescent="0.2">
      <c r="D333" s="14">
        <v>329</v>
      </c>
      <c r="E333" s="12">
        <v>41603</v>
      </c>
      <c r="F333" s="15">
        <f t="shared" si="182"/>
        <v>6.3250000000000001E-2</v>
      </c>
      <c r="H333" s="14">
        <v>329</v>
      </c>
      <c r="I333" s="12">
        <v>41968</v>
      </c>
      <c r="J333" s="15">
        <f t="shared" si="183"/>
        <v>5.9583333333333328E-2</v>
      </c>
      <c r="K333" s="4"/>
      <c r="L333" s="14">
        <v>329</v>
      </c>
      <c r="M333" s="12">
        <v>42333</v>
      </c>
      <c r="N333" s="15">
        <f t="shared" si="185"/>
        <v>5.0416666666666679E-2</v>
      </c>
      <c r="O333" s="141"/>
      <c r="P333" s="14">
        <v>329</v>
      </c>
      <c r="Q333" s="12">
        <v>41968</v>
      </c>
      <c r="R333" s="15">
        <f t="shared" si="184"/>
        <v>4.6750000000000014E-2</v>
      </c>
      <c r="S333" s="4"/>
      <c r="T333" s="14">
        <v>329</v>
      </c>
      <c r="U333" s="12">
        <v>42333</v>
      </c>
      <c r="V333" s="15">
        <f t="shared" si="186"/>
        <v>4.6750000000000014E-2</v>
      </c>
      <c r="AA333" s="14">
        <v>329</v>
      </c>
      <c r="AB333" s="12">
        <v>41237</v>
      </c>
      <c r="AC333" s="15">
        <f t="shared" si="187"/>
        <v>6.6916666666666652E-2</v>
      </c>
      <c r="AI333" s="255">
        <v>329</v>
      </c>
      <c r="AJ333" s="253">
        <v>42333</v>
      </c>
      <c r="AK333" s="256">
        <f t="shared" si="181"/>
        <v>8.1583333333333341E-2</v>
      </c>
      <c r="AL333" s="253">
        <v>42699</v>
      </c>
      <c r="AM333" s="256">
        <f t="shared" si="178"/>
        <v>4.6750000000000014E-2</v>
      </c>
      <c r="AO333" s="253">
        <v>42333</v>
      </c>
      <c r="AP333" s="256">
        <f t="shared" si="179"/>
        <v>0.14483333333333329</v>
      </c>
      <c r="AQ333" s="253">
        <v>42699</v>
      </c>
      <c r="AR333" s="256">
        <f t="shared" si="180"/>
        <v>4.3083333333333328E-2</v>
      </c>
    </row>
    <row r="334" spans="4:44" hidden="1" x14ac:dyDescent="0.2">
      <c r="D334" s="14">
        <v>330</v>
      </c>
      <c r="E334" s="12">
        <v>41604</v>
      </c>
      <c r="F334" s="15">
        <f t="shared" si="182"/>
        <v>6.3250000000000001E-2</v>
      </c>
      <c r="H334" s="14">
        <v>330</v>
      </c>
      <c r="I334" s="12">
        <v>41969</v>
      </c>
      <c r="J334" s="15">
        <f t="shared" si="183"/>
        <v>5.9583333333333328E-2</v>
      </c>
      <c r="K334" s="4"/>
      <c r="L334" s="14">
        <v>330</v>
      </c>
      <c r="M334" s="12">
        <v>42334</v>
      </c>
      <c r="N334" s="15">
        <f t="shared" si="185"/>
        <v>5.0416666666666679E-2</v>
      </c>
      <c r="O334" s="141"/>
      <c r="P334" s="14">
        <v>330</v>
      </c>
      <c r="Q334" s="12">
        <v>41969</v>
      </c>
      <c r="R334" s="15">
        <f t="shared" si="184"/>
        <v>4.6750000000000014E-2</v>
      </c>
      <c r="S334" s="4"/>
      <c r="T334" s="14">
        <v>330</v>
      </c>
      <c r="U334" s="12">
        <v>42334</v>
      </c>
      <c r="V334" s="15">
        <f t="shared" si="186"/>
        <v>4.6750000000000014E-2</v>
      </c>
      <c r="AA334" s="14">
        <v>330</v>
      </c>
      <c r="AB334" s="12">
        <v>41238</v>
      </c>
      <c r="AC334" s="15">
        <f t="shared" si="187"/>
        <v>6.6916666666666652E-2</v>
      </c>
      <c r="AI334" s="255">
        <v>330</v>
      </c>
      <c r="AJ334" s="253">
        <v>42334</v>
      </c>
      <c r="AK334" s="256">
        <f t="shared" si="181"/>
        <v>8.1583333333333341E-2</v>
      </c>
      <c r="AL334" s="253">
        <v>42700</v>
      </c>
      <c r="AM334" s="256">
        <f t="shared" si="178"/>
        <v>4.6750000000000014E-2</v>
      </c>
      <c r="AO334" s="253">
        <v>42334</v>
      </c>
      <c r="AP334" s="256">
        <f t="shared" si="179"/>
        <v>0.14483333333333329</v>
      </c>
      <c r="AQ334" s="253">
        <v>42700</v>
      </c>
      <c r="AR334" s="256">
        <f t="shared" si="180"/>
        <v>4.3083333333333328E-2</v>
      </c>
    </row>
    <row r="335" spans="4:44" hidden="1" x14ac:dyDescent="0.2">
      <c r="D335" s="14">
        <v>331</v>
      </c>
      <c r="E335" s="12">
        <v>41605</v>
      </c>
      <c r="F335" s="15">
        <f t="shared" si="182"/>
        <v>6.3250000000000001E-2</v>
      </c>
      <c r="H335" s="14">
        <v>331</v>
      </c>
      <c r="I335" s="12">
        <v>41970</v>
      </c>
      <c r="J335" s="15">
        <f t="shared" si="183"/>
        <v>5.9583333333333328E-2</v>
      </c>
      <c r="K335" s="4"/>
      <c r="L335" s="14">
        <v>331</v>
      </c>
      <c r="M335" s="12">
        <v>42335</v>
      </c>
      <c r="N335" s="15">
        <f t="shared" si="185"/>
        <v>5.0416666666666679E-2</v>
      </c>
      <c r="O335" s="141"/>
      <c r="P335" s="14">
        <v>331</v>
      </c>
      <c r="Q335" s="12">
        <v>41970</v>
      </c>
      <c r="R335" s="15">
        <f t="shared" si="184"/>
        <v>4.6750000000000014E-2</v>
      </c>
      <c r="S335" s="4"/>
      <c r="T335" s="14">
        <v>331</v>
      </c>
      <c r="U335" s="12">
        <v>42335</v>
      </c>
      <c r="V335" s="15">
        <f t="shared" si="186"/>
        <v>4.6750000000000014E-2</v>
      </c>
      <c r="AA335" s="14">
        <v>331</v>
      </c>
      <c r="AB335" s="12">
        <v>41239</v>
      </c>
      <c r="AC335" s="15">
        <f t="shared" si="187"/>
        <v>6.6916666666666652E-2</v>
      </c>
      <c r="AI335" s="255">
        <v>331</v>
      </c>
      <c r="AJ335" s="253">
        <v>42335</v>
      </c>
      <c r="AK335" s="256">
        <f t="shared" si="181"/>
        <v>8.1583333333333341E-2</v>
      </c>
      <c r="AL335" s="253">
        <v>42701</v>
      </c>
      <c r="AM335" s="256">
        <f t="shared" si="178"/>
        <v>4.6750000000000014E-2</v>
      </c>
      <c r="AO335" s="253">
        <v>42335</v>
      </c>
      <c r="AP335" s="256">
        <f t="shared" si="179"/>
        <v>0.14483333333333329</v>
      </c>
      <c r="AQ335" s="253">
        <v>42701</v>
      </c>
      <c r="AR335" s="256">
        <f t="shared" si="180"/>
        <v>4.3083333333333328E-2</v>
      </c>
    </row>
    <row r="336" spans="4:44" hidden="1" x14ac:dyDescent="0.2">
      <c r="D336" s="14">
        <v>332</v>
      </c>
      <c r="E336" s="12">
        <v>41606</v>
      </c>
      <c r="F336" s="15">
        <f t="shared" si="182"/>
        <v>6.3250000000000001E-2</v>
      </c>
      <c r="H336" s="14">
        <v>332</v>
      </c>
      <c r="I336" s="12">
        <v>41971</v>
      </c>
      <c r="J336" s="15">
        <f t="shared" si="183"/>
        <v>5.9583333333333328E-2</v>
      </c>
      <c r="K336" s="4"/>
      <c r="L336" s="14">
        <v>332</v>
      </c>
      <c r="M336" s="12">
        <v>42336</v>
      </c>
      <c r="N336" s="15">
        <f t="shared" si="185"/>
        <v>5.0416666666666679E-2</v>
      </c>
      <c r="O336" s="141"/>
      <c r="P336" s="14">
        <v>332</v>
      </c>
      <c r="Q336" s="12">
        <v>41971</v>
      </c>
      <c r="R336" s="15">
        <f t="shared" si="184"/>
        <v>4.6750000000000014E-2</v>
      </c>
      <c r="S336" s="4"/>
      <c r="T336" s="14">
        <v>332</v>
      </c>
      <c r="U336" s="12">
        <v>42336</v>
      </c>
      <c r="V336" s="15">
        <f t="shared" si="186"/>
        <v>4.6750000000000014E-2</v>
      </c>
      <c r="AA336" s="14">
        <v>332</v>
      </c>
      <c r="AB336" s="12">
        <v>41240</v>
      </c>
      <c r="AC336" s="15">
        <f t="shared" si="187"/>
        <v>6.6916666666666652E-2</v>
      </c>
      <c r="AI336" s="255">
        <v>332</v>
      </c>
      <c r="AJ336" s="253">
        <v>42336</v>
      </c>
      <c r="AK336" s="256">
        <f t="shared" si="181"/>
        <v>8.1583333333333341E-2</v>
      </c>
      <c r="AL336" s="253">
        <v>42702</v>
      </c>
      <c r="AM336" s="256">
        <f t="shared" si="178"/>
        <v>4.6750000000000014E-2</v>
      </c>
      <c r="AO336" s="253">
        <v>42336</v>
      </c>
      <c r="AP336" s="256">
        <f t="shared" si="179"/>
        <v>0.14483333333333329</v>
      </c>
      <c r="AQ336" s="253">
        <v>42702</v>
      </c>
      <c r="AR336" s="256">
        <f t="shared" si="180"/>
        <v>4.3083333333333328E-2</v>
      </c>
    </row>
    <row r="337" spans="4:44" hidden="1" x14ac:dyDescent="0.2">
      <c r="D337" s="14">
        <v>333</v>
      </c>
      <c r="E337" s="12">
        <v>41607</v>
      </c>
      <c r="F337" s="15">
        <f t="shared" si="182"/>
        <v>6.3250000000000001E-2</v>
      </c>
      <c r="H337" s="14">
        <v>333</v>
      </c>
      <c r="I337" s="12">
        <v>41972</v>
      </c>
      <c r="J337" s="15">
        <f t="shared" si="183"/>
        <v>5.9583333333333328E-2</v>
      </c>
      <c r="K337" s="4"/>
      <c r="L337" s="14">
        <v>333</v>
      </c>
      <c r="M337" s="12">
        <v>42337</v>
      </c>
      <c r="N337" s="15">
        <f t="shared" si="185"/>
        <v>5.0416666666666679E-2</v>
      </c>
      <c r="O337" s="141"/>
      <c r="P337" s="14">
        <v>333</v>
      </c>
      <c r="Q337" s="12">
        <v>41972</v>
      </c>
      <c r="R337" s="15">
        <f t="shared" si="184"/>
        <v>4.6750000000000014E-2</v>
      </c>
      <c r="S337" s="4"/>
      <c r="T337" s="14">
        <v>333</v>
      </c>
      <c r="U337" s="12">
        <v>42337</v>
      </c>
      <c r="V337" s="15">
        <f t="shared" si="186"/>
        <v>4.6750000000000014E-2</v>
      </c>
      <c r="AA337" s="14">
        <v>333</v>
      </c>
      <c r="AB337" s="12">
        <v>41241</v>
      </c>
      <c r="AC337" s="15">
        <f t="shared" si="187"/>
        <v>6.6916666666666652E-2</v>
      </c>
      <c r="AI337" s="255">
        <v>333</v>
      </c>
      <c r="AJ337" s="253">
        <v>42337</v>
      </c>
      <c r="AK337" s="256">
        <f t="shared" si="181"/>
        <v>8.1583333333333341E-2</v>
      </c>
      <c r="AL337" s="253">
        <v>42703</v>
      </c>
      <c r="AM337" s="256">
        <f t="shared" si="178"/>
        <v>4.6750000000000014E-2</v>
      </c>
      <c r="AO337" s="253">
        <v>42337</v>
      </c>
      <c r="AP337" s="256">
        <f t="shared" si="179"/>
        <v>0.14483333333333329</v>
      </c>
      <c r="AQ337" s="253">
        <v>42703</v>
      </c>
      <c r="AR337" s="256">
        <f t="shared" si="180"/>
        <v>4.3083333333333328E-2</v>
      </c>
    </row>
    <row r="338" spans="4:44" hidden="1" x14ac:dyDescent="0.2">
      <c r="D338" s="14">
        <v>334</v>
      </c>
      <c r="E338" s="12">
        <v>41608</v>
      </c>
      <c r="F338" s="15">
        <f t="shared" si="182"/>
        <v>6.3250000000000001E-2</v>
      </c>
      <c r="H338" s="14">
        <v>334</v>
      </c>
      <c r="I338" s="12">
        <v>41973</v>
      </c>
      <c r="J338" s="15">
        <f t="shared" si="183"/>
        <v>5.9583333333333328E-2</v>
      </c>
      <c r="K338" s="4"/>
      <c r="L338" s="14">
        <v>334</v>
      </c>
      <c r="M338" s="12">
        <v>42338</v>
      </c>
      <c r="N338" s="15">
        <f t="shared" si="185"/>
        <v>5.0416666666666679E-2</v>
      </c>
      <c r="O338" s="141"/>
      <c r="P338" s="14">
        <v>334</v>
      </c>
      <c r="Q338" s="12">
        <v>41973</v>
      </c>
      <c r="R338" s="15">
        <f t="shared" si="184"/>
        <v>4.6750000000000014E-2</v>
      </c>
      <c r="S338" s="4"/>
      <c r="T338" s="14">
        <v>334</v>
      </c>
      <c r="U338" s="12">
        <v>42338</v>
      </c>
      <c r="V338" s="15">
        <f t="shared" si="186"/>
        <v>4.6750000000000014E-2</v>
      </c>
      <c r="AA338" s="14">
        <v>334</v>
      </c>
      <c r="AB338" s="12">
        <v>41242</v>
      </c>
      <c r="AC338" s="15">
        <f t="shared" si="187"/>
        <v>6.6916666666666652E-2</v>
      </c>
      <c r="AI338" s="255">
        <v>334</v>
      </c>
      <c r="AJ338" s="253">
        <v>42338</v>
      </c>
      <c r="AK338" s="256">
        <f t="shared" si="181"/>
        <v>8.1583333333333341E-2</v>
      </c>
      <c r="AL338" s="253">
        <v>42704</v>
      </c>
      <c r="AM338" s="256">
        <f t="shared" si="178"/>
        <v>4.6750000000000014E-2</v>
      </c>
      <c r="AO338" s="253">
        <v>42338</v>
      </c>
      <c r="AP338" s="256">
        <f t="shared" si="179"/>
        <v>0.14483333333333329</v>
      </c>
      <c r="AQ338" s="253">
        <v>42704</v>
      </c>
      <c r="AR338" s="256">
        <f t="shared" si="180"/>
        <v>4.3083333333333328E-2</v>
      </c>
    </row>
    <row r="339" spans="4:44" hidden="1" x14ac:dyDescent="0.2">
      <c r="D339" s="14">
        <v>335</v>
      </c>
      <c r="E339" s="12">
        <v>41609</v>
      </c>
      <c r="F339" s="50">
        <f t="shared" ref="F339:F358" si="188">F$310+F$4/D$4/100</f>
        <v>6.6125000000000003E-2</v>
      </c>
      <c r="H339" s="14">
        <v>335</v>
      </c>
      <c r="I339" s="12">
        <v>41974</v>
      </c>
      <c r="J339" s="50">
        <f t="shared" ref="J339:J358" si="189">J$310+J$4/H$4/100</f>
        <v>6.2291666666666662E-2</v>
      </c>
      <c r="K339" s="4"/>
      <c r="L339" s="14">
        <v>335</v>
      </c>
      <c r="M339" s="12">
        <v>42339</v>
      </c>
      <c r="N339" s="50">
        <f>N$310+N$4/L$4/100</f>
        <v>5.270833333333335E-2</v>
      </c>
      <c r="O339" s="141"/>
      <c r="P339" s="14">
        <v>335</v>
      </c>
      <c r="Q339" s="12">
        <v>41974</v>
      </c>
      <c r="R339" s="50">
        <f t="shared" ref="R339:R358" si="190">R$310+R$4/P$4/100</f>
        <v>4.8875000000000016E-2</v>
      </c>
      <c r="S339" s="4"/>
      <c r="T339" s="14">
        <v>335</v>
      </c>
      <c r="U339" s="12">
        <v>42339</v>
      </c>
      <c r="V339" s="50">
        <f>V$310+V$4/T$4/100</f>
        <v>4.8875000000000016E-2</v>
      </c>
      <c r="AA339" s="51">
        <v>335</v>
      </c>
      <c r="AB339" s="12">
        <v>41243</v>
      </c>
      <c r="AC339" s="15">
        <f t="shared" si="187"/>
        <v>6.6916666666666652E-2</v>
      </c>
      <c r="AI339" s="255">
        <v>335</v>
      </c>
      <c r="AJ339" s="258">
        <v>42339</v>
      </c>
      <c r="AK339" s="256">
        <f t="shared" si="181"/>
        <v>8.1583333333333341E-2</v>
      </c>
      <c r="AL339" s="253">
        <v>42705</v>
      </c>
      <c r="AM339" s="256">
        <f t="shared" si="178"/>
        <v>4.6750000000000014E-2</v>
      </c>
      <c r="AO339" s="258">
        <v>42339</v>
      </c>
      <c r="AP339" s="256">
        <f t="shared" si="179"/>
        <v>0.14483333333333329</v>
      </c>
      <c r="AQ339" s="253">
        <v>42705</v>
      </c>
      <c r="AR339" s="256">
        <f t="shared" si="180"/>
        <v>4.3083333333333328E-2</v>
      </c>
    </row>
    <row r="340" spans="4:44" hidden="1" x14ac:dyDescent="0.2">
      <c r="D340" s="14">
        <v>336</v>
      </c>
      <c r="E340" s="12">
        <v>41610</v>
      </c>
      <c r="F340" s="15">
        <f t="shared" si="188"/>
        <v>6.6125000000000003E-2</v>
      </c>
      <c r="H340" s="14">
        <v>336</v>
      </c>
      <c r="I340" s="12">
        <v>41975</v>
      </c>
      <c r="J340" s="15">
        <f t="shared" si="189"/>
        <v>6.2291666666666662E-2</v>
      </c>
      <c r="K340" s="4"/>
      <c r="L340" s="14">
        <v>336</v>
      </c>
      <c r="M340" s="12">
        <v>42340</v>
      </c>
      <c r="N340" s="15">
        <f t="shared" ref="N340:N358" si="191">N$310+N$4/L$4/100</f>
        <v>5.270833333333335E-2</v>
      </c>
      <c r="O340" s="141"/>
      <c r="P340" s="14">
        <v>336</v>
      </c>
      <c r="Q340" s="12">
        <v>41975</v>
      </c>
      <c r="R340" s="15">
        <f t="shared" si="190"/>
        <v>4.8875000000000016E-2</v>
      </c>
      <c r="S340" s="4"/>
      <c r="T340" s="14">
        <v>336</v>
      </c>
      <c r="U340" s="12">
        <v>42340</v>
      </c>
      <c r="V340" s="15">
        <f t="shared" ref="V340:V358" si="192">V$310+V$4/T$4/100</f>
        <v>4.8875000000000016E-2</v>
      </c>
      <c r="AA340" s="51">
        <v>336</v>
      </c>
      <c r="AB340" s="49">
        <v>41244</v>
      </c>
      <c r="AC340" s="50">
        <f t="shared" ref="AC340:AC358" si="193">AC$310+AC$4/AA$4/100</f>
        <v>6.9958333333333317E-2</v>
      </c>
      <c r="AI340" s="255">
        <v>336</v>
      </c>
      <c r="AJ340" s="253">
        <v>42340</v>
      </c>
      <c r="AK340" s="256">
        <f t="shared" si="181"/>
        <v>8.1583333333333341E-2</v>
      </c>
      <c r="AL340" s="253">
        <v>42706</v>
      </c>
      <c r="AM340" s="256">
        <f t="shared" si="178"/>
        <v>4.6750000000000014E-2</v>
      </c>
      <c r="AO340" s="253">
        <v>42340</v>
      </c>
      <c r="AP340" s="256">
        <f t="shared" si="179"/>
        <v>0.14483333333333329</v>
      </c>
      <c r="AQ340" s="253">
        <v>42706</v>
      </c>
      <c r="AR340" s="256">
        <f t="shared" si="180"/>
        <v>4.3083333333333328E-2</v>
      </c>
    </row>
    <row r="341" spans="4:44" hidden="1" x14ac:dyDescent="0.2">
      <c r="D341" s="14">
        <v>337</v>
      </c>
      <c r="E341" s="12">
        <v>41611</v>
      </c>
      <c r="F341" s="15">
        <f t="shared" si="188"/>
        <v>6.6125000000000003E-2</v>
      </c>
      <c r="H341" s="14">
        <v>337</v>
      </c>
      <c r="I341" s="12">
        <v>41976</v>
      </c>
      <c r="J341" s="15">
        <f t="shared" si="189"/>
        <v>6.2291666666666662E-2</v>
      </c>
      <c r="K341" s="4"/>
      <c r="L341" s="14">
        <v>337</v>
      </c>
      <c r="M341" s="12">
        <v>42341</v>
      </c>
      <c r="N341" s="15">
        <f t="shared" si="191"/>
        <v>5.270833333333335E-2</v>
      </c>
      <c r="O341" s="141"/>
      <c r="P341" s="14">
        <v>337</v>
      </c>
      <c r="Q341" s="12">
        <v>41976</v>
      </c>
      <c r="R341" s="15">
        <f t="shared" si="190"/>
        <v>4.8875000000000016E-2</v>
      </c>
      <c r="S341" s="4"/>
      <c r="T341" s="14">
        <v>337</v>
      </c>
      <c r="U341" s="12">
        <v>42341</v>
      </c>
      <c r="V341" s="15">
        <f t="shared" si="192"/>
        <v>4.8875000000000016E-2</v>
      </c>
      <c r="AA341" s="14">
        <v>337</v>
      </c>
      <c r="AB341" s="12">
        <v>41245</v>
      </c>
      <c r="AC341" s="15">
        <f t="shared" si="193"/>
        <v>6.9958333333333317E-2</v>
      </c>
      <c r="AI341" s="255">
        <v>337</v>
      </c>
      <c r="AJ341" s="253">
        <v>42341</v>
      </c>
      <c r="AK341" s="256">
        <f t="shared" si="181"/>
        <v>8.1583333333333341E-2</v>
      </c>
      <c r="AL341" s="253">
        <v>42707</v>
      </c>
      <c r="AM341" s="256">
        <f t="shared" si="178"/>
        <v>4.6750000000000014E-2</v>
      </c>
      <c r="AO341" s="253">
        <v>42341</v>
      </c>
      <c r="AP341" s="256">
        <f t="shared" si="179"/>
        <v>0.14483333333333329</v>
      </c>
      <c r="AQ341" s="253">
        <v>42707</v>
      </c>
      <c r="AR341" s="256">
        <f t="shared" si="180"/>
        <v>4.3083333333333328E-2</v>
      </c>
    </row>
    <row r="342" spans="4:44" hidden="1" x14ac:dyDescent="0.2">
      <c r="D342" s="14">
        <v>338</v>
      </c>
      <c r="E342" s="12">
        <v>41612</v>
      </c>
      <c r="F342" s="15">
        <f t="shared" si="188"/>
        <v>6.6125000000000003E-2</v>
      </c>
      <c r="H342" s="14">
        <v>338</v>
      </c>
      <c r="I342" s="12">
        <v>41977</v>
      </c>
      <c r="J342" s="15">
        <f t="shared" si="189"/>
        <v>6.2291666666666662E-2</v>
      </c>
      <c r="K342" s="4"/>
      <c r="L342" s="14">
        <v>338</v>
      </c>
      <c r="M342" s="12">
        <v>42342</v>
      </c>
      <c r="N342" s="15">
        <f t="shared" si="191"/>
        <v>5.270833333333335E-2</v>
      </c>
      <c r="O342" s="141"/>
      <c r="P342" s="14">
        <v>338</v>
      </c>
      <c r="Q342" s="12">
        <v>41977</v>
      </c>
      <c r="R342" s="15">
        <f t="shared" si="190"/>
        <v>4.8875000000000016E-2</v>
      </c>
      <c r="S342" s="4"/>
      <c r="T342" s="14">
        <v>338</v>
      </c>
      <c r="U342" s="12">
        <v>42342</v>
      </c>
      <c r="V342" s="15">
        <f t="shared" si="192"/>
        <v>4.8875000000000016E-2</v>
      </c>
      <c r="AA342" s="14">
        <v>338</v>
      </c>
      <c r="AB342" s="12">
        <v>41246</v>
      </c>
      <c r="AC342" s="15">
        <f t="shared" si="193"/>
        <v>6.9958333333333317E-2</v>
      </c>
      <c r="AI342" s="255">
        <v>338</v>
      </c>
      <c r="AJ342" s="253">
        <v>42342</v>
      </c>
      <c r="AK342" s="256">
        <f t="shared" si="181"/>
        <v>8.1583333333333341E-2</v>
      </c>
      <c r="AL342" s="253">
        <v>42708</v>
      </c>
      <c r="AM342" s="256">
        <f t="shared" si="178"/>
        <v>4.6750000000000014E-2</v>
      </c>
      <c r="AO342" s="253">
        <v>42342</v>
      </c>
      <c r="AP342" s="256">
        <f t="shared" si="179"/>
        <v>0.14483333333333329</v>
      </c>
      <c r="AQ342" s="253">
        <v>42708</v>
      </c>
      <c r="AR342" s="256">
        <f t="shared" si="180"/>
        <v>4.3083333333333328E-2</v>
      </c>
    </row>
    <row r="343" spans="4:44" hidden="1" x14ac:dyDescent="0.2">
      <c r="D343" s="14">
        <v>339</v>
      </c>
      <c r="E343" s="12">
        <v>41613</v>
      </c>
      <c r="F343" s="15">
        <f t="shared" si="188"/>
        <v>6.6125000000000003E-2</v>
      </c>
      <c r="H343" s="14">
        <v>339</v>
      </c>
      <c r="I343" s="12">
        <v>41978</v>
      </c>
      <c r="J343" s="15">
        <f t="shared" si="189"/>
        <v>6.2291666666666662E-2</v>
      </c>
      <c r="K343" s="4"/>
      <c r="L343" s="14">
        <v>339</v>
      </c>
      <c r="M343" s="12">
        <v>42343</v>
      </c>
      <c r="N343" s="15">
        <f t="shared" si="191"/>
        <v>5.270833333333335E-2</v>
      </c>
      <c r="O343" s="141"/>
      <c r="P343" s="14">
        <v>339</v>
      </c>
      <c r="Q343" s="12">
        <v>41978</v>
      </c>
      <c r="R343" s="15">
        <f t="shared" si="190"/>
        <v>4.8875000000000016E-2</v>
      </c>
      <c r="S343" s="4"/>
      <c r="T343" s="14">
        <v>339</v>
      </c>
      <c r="U343" s="12">
        <v>42343</v>
      </c>
      <c r="V343" s="15">
        <f t="shared" si="192"/>
        <v>4.8875000000000016E-2</v>
      </c>
      <c r="AA343" s="14">
        <v>339</v>
      </c>
      <c r="AB343" s="12">
        <v>41247</v>
      </c>
      <c r="AC343" s="15">
        <f t="shared" si="193"/>
        <v>6.9958333333333317E-2</v>
      </c>
      <c r="AI343" s="255">
        <v>339</v>
      </c>
      <c r="AJ343" s="253">
        <v>42343</v>
      </c>
      <c r="AK343" s="256">
        <f t="shared" si="181"/>
        <v>8.1583333333333341E-2</v>
      </c>
      <c r="AL343" s="253">
        <v>42709</v>
      </c>
      <c r="AM343" s="256">
        <f t="shared" si="178"/>
        <v>4.6750000000000014E-2</v>
      </c>
      <c r="AO343" s="253">
        <v>42343</v>
      </c>
      <c r="AP343" s="256">
        <f t="shared" si="179"/>
        <v>0.14483333333333329</v>
      </c>
      <c r="AQ343" s="253">
        <v>42709</v>
      </c>
      <c r="AR343" s="256">
        <f t="shared" si="180"/>
        <v>4.3083333333333328E-2</v>
      </c>
    </row>
    <row r="344" spans="4:44" hidden="1" x14ac:dyDescent="0.2">
      <c r="D344" s="14">
        <v>340</v>
      </c>
      <c r="E344" s="12">
        <v>41614</v>
      </c>
      <c r="F344" s="15">
        <f t="shared" si="188"/>
        <v>6.6125000000000003E-2</v>
      </c>
      <c r="H344" s="14">
        <v>340</v>
      </c>
      <c r="I344" s="12">
        <v>41979</v>
      </c>
      <c r="J344" s="15">
        <f t="shared" si="189"/>
        <v>6.2291666666666662E-2</v>
      </c>
      <c r="K344" s="4"/>
      <c r="L344" s="14">
        <v>340</v>
      </c>
      <c r="M344" s="12">
        <v>42344</v>
      </c>
      <c r="N344" s="15">
        <f t="shared" si="191"/>
        <v>5.270833333333335E-2</v>
      </c>
      <c r="O344" s="141"/>
      <c r="P344" s="14">
        <v>340</v>
      </c>
      <c r="Q344" s="12">
        <v>41979</v>
      </c>
      <c r="R344" s="15">
        <f t="shared" si="190"/>
        <v>4.8875000000000016E-2</v>
      </c>
      <c r="S344" s="4"/>
      <c r="T344" s="14">
        <v>340</v>
      </c>
      <c r="U344" s="12">
        <v>42344</v>
      </c>
      <c r="V344" s="15">
        <f t="shared" si="192"/>
        <v>4.8875000000000016E-2</v>
      </c>
      <c r="AA344" s="14">
        <v>340</v>
      </c>
      <c r="AB344" s="12">
        <v>41248</v>
      </c>
      <c r="AC344" s="15">
        <f t="shared" si="193"/>
        <v>6.9958333333333317E-2</v>
      </c>
      <c r="AI344" s="255">
        <v>340</v>
      </c>
      <c r="AJ344" s="253">
        <v>42344</v>
      </c>
      <c r="AK344" s="259">
        <f>AK$343+AK$4/AI$4/100</f>
        <v>8.900000000000001E-2</v>
      </c>
      <c r="AL344" s="253">
        <v>42710</v>
      </c>
      <c r="AM344" s="259">
        <f t="shared" ref="AM344:AM369" si="194">AM$343+AM$4/AI$4/100</f>
        <v>5.1000000000000018E-2</v>
      </c>
      <c r="AO344" s="253">
        <v>42344</v>
      </c>
      <c r="AP344" s="259">
        <f t="shared" ref="AP344:AP369" si="195">AP$343+AP$4/$AI$4/100</f>
        <v>0.15799999999999995</v>
      </c>
      <c r="AQ344" s="253">
        <v>42710</v>
      </c>
      <c r="AR344" s="259">
        <f t="shared" ref="AR344:AR369" si="196">AR$343+AR$4/$AI$4/100</f>
        <v>4.6999999999999993E-2</v>
      </c>
    </row>
    <row r="345" spans="4:44" hidden="1" x14ac:dyDescent="0.2">
      <c r="D345" s="14">
        <v>341</v>
      </c>
      <c r="E345" s="12">
        <v>41615</v>
      </c>
      <c r="F345" s="15">
        <f t="shared" si="188"/>
        <v>6.6125000000000003E-2</v>
      </c>
      <c r="H345" s="14">
        <v>341</v>
      </c>
      <c r="I345" s="12">
        <v>41980</v>
      </c>
      <c r="J345" s="15">
        <f t="shared" si="189"/>
        <v>6.2291666666666662E-2</v>
      </c>
      <c r="K345" s="4"/>
      <c r="L345" s="14">
        <v>341</v>
      </c>
      <c r="M345" s="12">
        <v>42345</v>
      </c>
      <c r="N345" s="15">
        <f t="shared" si="191"/>
        <v>5.270833333333335E-2</v>
      </c>
      <c r="O345" s="141"/>
      <c r="P345" s="14">
        <v>341</v>
      </c>
      <c r="Q345" s="12">
        <v>41980</v>
      </c>
      <c r="R345" s="15">
        <f t="shared" si="190"/>
        <v>4.8875000000000016E-2</v>
      </c>
      <c r="S345" s="4"/>
      <c r="T345" s="14">
        <v>341</v>
      </c>
      <c r="U345" s="12">
        <v>42345</v>
      </c>
      <c r="V345" s="15">
        <f t="shared" si="192"/>
        <v>4.8875000000000016E-2</v>
      </c>
      <c r="AA345" s="14">
        <v>341</v>
      </c>
      <c r="AB345" s="12">
        <v>41249</v>
      </c>
      <c r="AC345" s="15">
        <f t="shared" si="193"/>
        <v>6.9958333333333317E-2</v>
      </c>
      <c r="AI345" s="255">
        <v>341</v>
      </c>
      <c r="AJ345" s="253">
        <v>42345</v>
      </c>
      <c r="AK345" s="256">
        <f t="shared" ref="AK345:AK369" si="197">AK$343+AK$4/AI$4/100</f>
        <v>8.900000000000001E-2</v>
      </c>
      <c r="AL345" s="253">
        <v>42711</v>
      </c>
      <c r="AM345" s="256">
        <f t="shared" si="194"/>
        <v>5.1000000000000018E-2</v>
      </c>
      <c r="AO345" s="253">
        <v>42345</v>
      </c>
      <c r="AP345" s="256">
        <f t="shared" si="195"/>
        <v>0.15799999999999995</v>
      </c>
      <c r="AQ345" s="253">
        <v>42711</v>
      </c>
      <c r="AR345" s="256">
        <f t="shared" si="196"/>
        <v>4.6999999999999993E-2</v>
      </c>
    </row>
    <row r="346" spans="4:44" hidden="1" x14ac:dyDescent="0.2">
      <c r="D346" s="14">
        <v>342</v>
      </c>
      <c r="E346" s="12">
        <v>41616</v>
      </c>
      <c r="F346" s="15">
        <f t="shared" si="188"/>
        <v>6.6125000000000003E-2</v>
      </c>
      <c r="H346" s="14">
        <v>342</v>
      </c>
      <c r="I346" s="12">
        <v>41981</v>
      </c>
      <c r="J346" s="15">
        <f t="shared" si="189"/>
        <v>6.2291666666666662E-2</v>
      </c>
      <c r="K346" s="4"/>
      <c r="L346" s="14">
        <v>342</v>
      </c>
      <c r="M346" s="12">
        <v>42346</v>
      </c>
      <c r="N346" s="15">
        <f t="shared" si="191"/>
        <v>5.270833333333335E-2</v>
      </c>
      <c r="O346" s="141"/>
      <c r="P346" s="14">
        <v>342</v>
      </c>
      <c r="Q346" s="12">
        <v>41981</v>
      </c>
      <c r="R346" s="15">
        <f t="shared" si="190"/>
        <v>4.8875000000000016E-2</v>
      </c>
      <c r="S346" s="4"/>
      <c r="T346" s="14">
        <v>342</v>
      </c>
      <c r="U346" s="12">
        <v>42346</v>
      </c>
      <c r="V346" s="15">
        <f t="shared" si="192"/>
        <v>4.8875000000000016E-2</v>
      </c>
      <c r="AA346" s="14">
        <v>342</v>
      </c>
      <c r="AB346" s="12">
        <v>41250</v>
      </c>
      <c r="AC346" s="15">
        <f t="shared" si="193"/>
        <v>6.9958333333333317E-2</v>
      </c>
      <c r="AI346" s="255">
        <v>342</v>
      </c>
      <c r="AJ346" s="253">
        <v>42346</v>
      </c>
      <c r="AK346" s="256">
        <f t="shared" si="197"/>
        <v>8.900000000000001E-2</v>
      </c>
      <c r="AL346" s="253">
        <v>42712</v>
      </c>
      <c r="AM346" s="256">
        <f t="shared" si="194"/>
        <v>5.1000000000000018E-2</v>
      </c>
      <c r="AO346" s="253">
        <v>42346</v>
      </c>
      <c r="AP346" s="256">
        <f t="shared" si="195"/>
        <v>0.15799999999999995</v>
      </c>
      <c r="AQ346" s="253">
        <v>42712</v>
      </c>
      <c r="AR346" s="256">
        <f t="shared" si="196"/>
        <v>4.6999999999999993E-2</v>
      </c>
    </row>
    <row r="347" spans="4:44" hidden="1" x14ac:dyDescent="0.2">
      <c r="D347" s="14">
        <v>343</v>
      </c>
      <c r="E347" s="12">
        <v>41617</v>
      </c>
      <c r="F347" s="15">
        <f t="shared" si="188"/>
        <v>6.6125000000000003E-2</v>
      </c>
      <c r="H347" s="14">
        <v>343</v>
      </c>
      <c r="I347" s="12">
        <v>41982</v>
      </c>
      <c r="J347" s="15">
        <f t="shared" si="189"/>
        <v>6.2291666666666662E-2</v>
      </c>
      <c r="K347" s="4"/>
      <c r="L347" s="14">
        <v>343</v>
      </c>
      <c r="M347" s="12">
        <v>42347</v>
      </c>
      <c r="N347" s="15">
        <f t="shared" si="191"/>
        <v>5.270833333333335E-2</v>
      </c>
      <c r="O347" s="141"/>
      <c r="P347" s="14">
        <v>343</v>
      </c>
      <c r="Q347" s="12">
        <v>41982</v>
      </c>
      <c r="R347" s="15">
        <f t="shared" si="190"/>
        <v>4.8875000000000016E-2</v>
      </c>
      <c r="S347" s="4"/>
      <c r="T347" s="14">
        <v>343</v>
      </c>
      <c r="U347" s="12">
        <v>42347</v>
      </c>
      <c r="V347" s="15">
        <f t="shared" si="192"/>
        <v>4.8875000000000016E-2</v>
      </c>
      <c r="AA347" s="14">
        <v>343</v>
      </c>
      <c r="AB347" s="12">
        <v>41251</v>
      </c>
      <c r="AC347" s="15">
        <f t="shared" si="193"/>
        <v>6.9958333333333317E-2</v>
      </c>
      <c r="AI347" s="255">
        <v>343</v>
      </c>
      <c r="AJ347" s="253">
        <v>42347</v>
      </c>
      <c r="AK347" s="256">
        <f t="shared" si="197"/>
        <v>8.900000000000001E-2</v>
      </c>
      <c r="AL347" s="253">
        <v>42713</v>
      </c>
      <c r="AM347" s="256">
        <f t="shared" si="194"/>
        <v>5.1000000000000018E-2</v>
      </c>
      <c r="AO347" s="253">
        <v>42347</v>
      </c>
      <c r="AP347" s="256">
        <f t="shared" si="195"/>
        <v>0.15799999999999995</v>
      </c>
      <c r="AQ347" s="253">
        <v>42713</v>
      </c>
      <c r="AR347" s="256">
        <f t="shared" si="196"/>
        <v>4.6999999999999993E-2</v>
      </c>
    </row>
    <row r="348" spans="4:44" hidden="1" x14ac:dyDescent="0.2">
      <c r="D348" s="14">
        <v>344</v>
      </c>
      <c r="E348" s="12">
        <v>41618</v>
      </c>
      <c r="F348" s="15">
        <f t="shared" si="188"/>
        <v>6.6125000000000003E-2</v>
      </c>
      <c r="H348" s="14">
        <v>344</v>
      </c>
      <c r="I348" s="12">
        <v>41983</v>
      </c>
      <c r="J348" s="15">
        <f t="shared" si="189"/>
        <v>6.2291666666666662E-2</v>
      </c>
      <c r="K348" s="4"/>
      <c r="L348" s="14">
        <v>344</v>
      </c>
      <c r="M348" s="12">
        <v>42348</v>
      </c>
      <c r="N348" s="15">
        <f t="shared" si="191"/>
        <v>5.270833333333335E-2</v>
      </c>
      <c r="O348" s="141"/>
      <c r="P348" s="14">
        <v>344</v>
      </c>
      <c r="Q348" s="12">
        <v>41983</v>
      </c>
      <c r="R348" s="15">
        <f t="shared" si="190"/>
        <v>4.8875000000000016E-2</v>
      </c>
      <c r="S348" s="4"/>
      <c r="T348" s="14">
        <v>344</v>
      </c>
      <c r="U348" s="12">
        <v>42348</v>
      </c>
      <c r="V348" s="15">
        <f t="shared" si="192"/>
        <v>4.8875000000000016E-2</v>
      </c>
      <c r="AA348" s="14">
        <v>344</v>
      </c>
      <c r="AB348" s="12">
        <v>41252</v>
      </c>
      <c r="AC348" s="15">
        <f t="shared" si="193"/>
        <v>6.9958333333333317E-2</v>
      </c>
      <c r="AI348" s="255">
        <v>344</v>
      </c>
      <c r="AJ348" s="253">
        <v>42348</v>
      </c>
      <c r="AK348" s="256">
        <f t="shared" si="197"/>
        <v>8.900000000000001E-2</v>
      </c>
      <c r="AL348" s="253">
        <v>42714</v>
      </c>
      <c r="AM348" s="256">
        <f t="shared" si="194"/>
        <v>5.1000000000000018E-2</v>
      </c>
      <c r="AO348" s="253">
        <v>42348</v>
      </c>
      <c r="AP348" s="256">
        <f t="shared" si="195"/>
        <v>0.15799999999999995</v>
      </c>
      <c r="AQ348" s="253">
        <v>42714</v>
      </c>
      <c r="AR348" s="256">
        <f t="shared" si="196"/>
        <v>4.6999999999999993E-2</v>
      </c>
    </row>
    <row r="349" spans="4:44" hidden="1" x14ac:dyDescent="0.2">
      <c r="D349" s="14">
        <v>345</v>
      </c>
      <c r="E349" s="12">
        <v>41619</v>
      </c>
      <c r="F349" s="15">
        <f t="shared" si="188"/>
        <v>6.6125000000000003E-2</v>
      </c>
      <c r="H349" s="14">
        <v>345</v>
      </c>
      <c r="I349" s="12">
        <v>41984</v>
      </c>
      <c r="J349" s="15">
        <f t="shared" si="189"/>
        <v>6.2291666666666662E-2</v>
      </c>
      <c r="K349" s="4"/>
      <c r="L349" s="14">
        <v>345</v>
      </c>
      <c r="M349" s="12">
        <v>42349</v>
      </c>
      <c r="N349" s="15">
        <f t="shared" si="191"/>
        <v>5.270833333333335E-2</v>
      </c>
      <c r="O349" s="141"/>
      <c r="P349" s="14">
        <v>345</v>
      </c>
      <c r="Q349" s="12">
        <v>41984</v>
      </c>
      <c r="R349" s="15">
        <f t="shared" si="190"/>
        <v>4.8875000000000016E-2</v>
      </c>
      <c r="S349" s="4"/>
      <c r="T349" s="14">
        <v>345</v>
      </c>
      <c r="U349" s="12">
        <v>42349</v>
      </c>
      <c r="V349" s="15">
        <f t="shared" si="192"/>
        <v>4.8875000000000016E-2</v>
      </c>
      <c r="AA349" s="14">
        <v>345</v>
      </c>
      <c r="AB349" s="12">
        <v>41253</v>
      </c>
      <c r="AC349" s="15">
        <f t="shared" si="193"/>
        <v>6.9958333333333317E-2</v>
      </c>
      <c r="AI349" s="255">
        <v>345</v>
      </c>
      <c r="AJ349" s="253">
        <v>42349</v>
      </c>
      <c r="AK349" s="256">
        <f t="shared" si="197"/>
        <v>8.900000000000001E-2</v>
      </c>
      <c r="AL349" s="253">
        <v>42715</v>
      </c>
      <c r="AM349" s="256">
        <f t="shared" si="194"/>
        <v>5.1000000000000018E-2</v>
      </c>
      <c r="AO349" s="253">
        <v>42349</v>
      </c>
      <c r="AP349" s="256">
        <f t="shared" si="195"/>
        <v>0.15799999999999995</v>
      </c>
      <c r="AQ349" s="253">
        <v>42715</v>
      </c>
      <c r="AR349" s="256">
        <f t="shared" si="196"/>
        <v>4.6999999999999993E-2</v>
      </c>
    </row>
    <row r="350" spans="4:44" hidden="1" x14ac:dyDescent="0.2">
      <c r="D350" s="14">
        <v>346</v>
      </c>
      <c r="E350" s="12">
        <v>41620</v>
      </c>
      <c r="F350" s="15">
        <f t="shared" si="188"/>
        <v>6.6125000000000003E-2</v>
      </c>
      <c r="H350" s="14">
        <v>346</v>
      </c>
      <c r="I350" s="12">
        <v>41985</v>
      </c>
      <c r="J350" s="15">
        <f t="shared" si="189"/>
        <v>6.2291666666666662E-2</v>
      </c>
      <c r="K350" s="4"/>
      <c r="L350" s="14">
        <v>346</v>
      </c>
      <c r="M350" s="12">
        <v>42350</v>
      </c>
      <c r="N350" s="15">
        <f t="shared" si="191"/>
        <v>5.270833333333335E-2</v>
      </c>
      <c r="O350" s="141"/>
      <c r="P350" s="14">
        <v>346</v>
      </c>
      <c r="Q350" s="12">
        <v>41985</v>
      </c>
      <c r="R350" s="15">
        <f t="shared" si="190"/>
        <v>4.8875000000000016E-2</v>
      </c>
      <c r="S350" s="4"/>
      <c r="T350" s="14">
        <v>346</v>
      </c>
      <c r="U350" s="12">
        <v>42350</v>
      </c>
      <c r="V350" s="15">
        <f t="shared" si="192"/>
        <v>4.8875000000000016E-2</v>
      </c>
      <c r="AA350" s="14">
        <v>346</v>
      </c>
      <c r="AB350" s="12">
        <v>41254</v>
      </c>
      <c r="AC350" s="15">
        <f t="shared" si="193"/>
        <v>6.9958333333333317E-2</v>
      </c>
      <c r="AI350" s="255">
        <v>346</v>
      </c>
      <c r="AJ350" s="253">
        <v>42350</v>
      </c>
      <c r="AK350" s="256">
        <f t="shared" si="197"/>
        <v>8.900000000000001E-2</v>
      </c>
      <c r="AL350" s="253">
        <v>42716</v>
      </c>
      <c r="AM350" s="256">
        <f t="shared" si="194"/>
        <v>5.1000000000000018E-2</v>
      </c>
      <c r="AO350" s="253">
        <v>42350</v>
      </c>
      <c r="AP350" s="256">
        <f t="shared" si="195"/>
        <v>0.15799999999999995</v>
      </c>
      <c r="AQ350" s="253">
        <v>42716</v>
      </c>
      <c r="AR350" s="256">
        <f t="shared" si="196"/>
        <v>4.6999999999999993E-2</v>
      </c>
    </row>
    <row r="351" spans="4:44" hidden="1" x14ac:dyDescent="0.2">
      <c r="D351" s="14">
        <v>347</v>
      </c>
      <c r="E351" s="12">
        <v>41621</v>
      </c>
      <c r="F351" s="15">
        <f t="shared" si="188"/>
        <v>6.6125000000000003E-2</v>
      </c>
      <c r="H351" s="14">
        <v>347</v>
      </c>
      <c r="I351" s="12">
        <v>41986</v>
      </c>
      <c r="J351" s="15">
        <f t="shared" si="189"/>
        <v>6.2291666666666662E-2</v>
      </c>
      <c r="K351" s="4"/>
      <c r="L351" s="14">
        <v>347</v>
      </c>
      <c r="M351" s="12">
        <v>42351</v>
      </c>
      <c r="N351" s="15">
        <f t="shared" si="191"/>
        <v>5.270833333333335E-2</v>
      </c>
      <c r="O351" s="141"/>
      <c r="P351" s="14">
        <v>347</v>
      </c>
      <c r="Q351" s="12">
        <v>41986</v>
      </c>
      <c r="R351" s="15">
        <f t="shared" si="190"/>
        <v>4.8875000000000016E-2</v>
      </c>
      <c r="S351" s="4"/>
      <c r="T351" s="14">
        <v>347</v>
      </c>
      <c r="U351" s="12">
        <v>42351</v>
      </c>
      <c r="V351" s="15">
        <f t="shared" si="192"/>
        <v>4.8875000000000016E-2</v>
      </c>
      <c r="AA351" s="14">
        <v>347</v>
      </c>
      <c r="AB351" s="12">
        <v>41255</v>
      </c>
      <c r="AC351" s="15">
        <f t="shared" si="193"/>
        <v>6.9958333333333317E-2</v>
      </c>
      <c r="AI351" s="255">
        <v>347</v>
      </c>
      <c r="AJ351" s="253">
        <v>42351</v>
      </c>
      <c r="AK351" s="256">
        <f t="shared" si="197"/>
        <v>8.900000000000001E-2</v>
      </c>
      <c r="AL351" s="253">
        <v>42717</v>
      </c>
      <c r="AM351" s="256">
        <f t="shared" si="194"/>
        <v>5.1000000000000018E-2</v>
      </c>
      <c r="AO351" s="253">
        <v>42351</v>
      </c>
      <c r="AP351" s="256">
        <f t="shared" si="195"/>
        <v>0.15799999999999995</v>
      </c>
      <c r="AQ351" s="253">
        <v>42717</v>
      </c>
      <c r="AR351" s="256">
        <f t="shared" si="196"/>
        <v>4.6999999999999993E-2</v>
      </c>
    </row>
    <row r="352" spans="4:44" hidden="1" x14ac:dyDescent="0.2">
      <c r="D352" s="14">
        <v>348</v>
      </c>
      <c r="E352" s="12">
        <v>41622</v>
      </c>
      <c r="F352" s="15">
        <f t="shared" si="188"/>
        <v>6.6125000000000003E-2</v>
      </c>
      <c r="H352" s="14">
        <v>348</v>
      </c>
      <c r="I352" s="12">
        <v>41987</v>
      </c>
      <c r="J352" s="15">
        <f t="shared" si="189"/>
        <v>6.2291666666666662E-2</v>
      </c>
      <c r="K352" s="4"/>
      <c r="L352" s="14">
        <v>348</v>
      </c>
      <c r="M352" s="12">
        <v>42352</v>
      </c>
      <c r="N352" s="15">
        <f t="shared" si="191"/>
        <v>5.270833333333335E-2</v>
      </c>
      <c r="O352" s="141"/>
      <c r="P352" s="14">
        <v>348</v>
      </c>
      <c r="Q352" s="12">
        <v>41987</v>
      </c>
      <c r="R352" s="15">
        <f t="shared" si="190"/>
        <v>4.8875000000000016E-2</v>
      </c>
      <c r="S352" s="4"/>
      <c r="T352" s="14">
        <v>348</v>
      </c>
      <c r="U352" s="12">
        <v>42352</v>
      </c>
      <c r="V352" s="15">
        <f t="shared" si="192"/>
        <v>4.8875000000000016E-2</v>
      </c>
      <c r="AA352" s="14">
        <v>348</v>
      </c>
      <c r="AB352" s="12">
        <v>41256</v>
      </c>
      <c r="AC352" s="15">
        <f t="shared" si="193"/>
        <v>6.9958333333333317E-2</v>
      </c>
      <c r="AI352" s="255">
        <v>348</v>
      </c>
      <c r="AJ352" s="253">
        <v>42352</v>
      </c>
      <c r="AK352" s="256">
        <f t="shared" si="197"/>
        <v>8.900000000000001E-2</v>
      </c>
      <c r="AL352" s="253">
        <v>42718</v>
      </c>
      <c r="AM352" s="256">
        <f t="shared" si="194"/>
        <v>5.1000000000000018E-2</v>
      </c>
      <c r="AO352" s="253">
        <v>42352</v>
      </c>
      <c r="AP352" s="256">
        <f t="shared" si="195"/>
        <v>0.15799999999999995</v>
      </c>
      <c r="AQ352" s="253">
        <v>42718</v>
      </c>
      <c r="AR352" s="256">
        <f t="shared" si="196"/>
        <v>4.6999999999999993E-2</v>
      </c>
    </row>
    <row r="353" spans="4:44" hidden="1" x14ac:dyDescent="0.2">
      <c r="D353" s="14">
        <v>349</v>
      </c>
      <c r="E353" s="12">
        <v>41623</v>
      </c>
      <c r="F353" s="15">
        <f t="shared" si="188"/>
        <v>6.6125000000000003E-2</v>
      </c>
      <c r="H353" s="14">
        <v>349</v>
      </c>
      <c r="I353" s="12">
        <v>41988</v>
      </c>
      <c r="J353" s="15">
        <f t="shared" si="189"/>
        <v>6.2291666666666662E-2</v>
      </c>
      <c r="K353" s="4"/>
      <c r="L353" s="14">
        <v>349</v>
      </c>
      <c r="M353" s="12">
        <v>42353</v>
      </c>
      <c r="N353" s="15">
        <f t="shared" si="191"/>
        <v>5.270833333333335E-2</v>
      </c>
      <c r="O353" s="141"/>
      <c r="P353" s="14">
        <v>349</v>
      </c>
      <c r="Q353" s="12">
        <v>41988</v>
      </c>
      <c r="R353" s="15">
        <f t="shared" si="190"/>
        <v>4.8875000000000016E-2</v>
      </c>
      <c r="S353" s="4"/>
      <c r="T353" s="14">
        <v>349</v>
      </c>
      <c r="U353" s="12">
        <v>42353</v>
      </c>
      <c r="V353" s="15">
        <f t="shared" si="192"/>
        <v>4.8875000000000016E-2</v>
      </c>
      <c r="AA353" s="14">
        <v>349</v>
      </c>
      <c r="AB353" s="12">
        <v>41257</v>
      </c>
      <c r="AC353" s="15">
        <f t="shared" si="193"/>
        <v>6.9958333333333317E-2</v>
      </c>
      <c r="AI353" s="255">
        <v>349</v>
      </c>
      <c r="AJ353" s="253">
        <v>42353</v>
      </c>
      <c r="AK353" s="256">
        <f t="shared" si="197"/>
        <v>8.900000000000001E-2</v>
      </c>
      <c r="AL353" s="253">
        <v>42719</v>
      </c>
      <c r="AM353" s="256">
        <f t="shared" si="194"/>
        <v>5.1000000000000018E-2</v>
      </c>
      <c r="AO353" s="253">
        <v>42353</v>
      </c>
      <c r="AP353" s="256">
        <f t="shared" si="195"/>
        <v>0.15799999999999995</v>
      </c>
      <c r="AQ353" s="253">
        <v>42719</v>
      </c>
      <c r="AR353" s="256">
        <f t="shared" si="196"/>
        <v>4.6999999999999993E-2</v>
      </c>
    </row>
    <row r="354" spans="4:44" hidden="1" x14ac:dyDescent="0.2">
      <c r="D354" s="14">
        <v>350</v>
      </c>
      <c r="E354" s="12">
        <v>41624</v>
      </c>
      <c r="F354" s="15">
        <f t="shared" si="188"/>
        <v>6.6125000000000003E-2</v>
      </c>
      <c r="H354" s="14">
        <v>350</v>
      </c>
      <c r="I354" s="12">
        <v>41989</v>
      </c>
      <c r="J354" s="15">
        <f t="shared" si="189"/>
        <v>6.2291666666666662E-2</v>
      </c>
      <c r="K354" s="4"/>
      <c r="L354" s="14">
        <v>350</v>
      </c>
      <c r="M354" s="12">
        <v>42354</v>
      </c>
      <c r="N354" s="15">
        <f t="shared" si="191"/>
        <v>5.270833333333335E-2</v>
      </c>
      <c r="O354" s="141"/>
      <c r="P354" s="14">
        <v>350</v>
      </c>
      <c r="Q354" s="12">
        <v>41989</v>
      </c>
      <c r="R354" s="15">
        <f t="shared" si="190"/>
        <v>4.8875000000000016E-2</v>
      </c>
      <c r="S354" s="4"/>
      <c r="T354" s="14">
        <v>350</v>
      </c>
      <c r="U354" s="12">
        <v>42354</v>
      </c>
      <c r="V354" s="15">
        <f t="shared" si="192"/>
        <v>4.8875000000000016E-2</v>
      </c>
      <c r="AA354" s="14">
        <v>350</v>
      </c>
      <c r="AB354" s="12">
        <v>41258</v>
      </c>
      <c r="AC354" s="15">
        <f t="shared" si="193"/>
        <v>6.9958333333333317E-2</v>
      </c>
      <c r="AI354" s="255">
        <v>350</v>
      </c>
      <c r="AJ354" s="253">
        <v>42354</v>
      </c>
      <c r="AK354" s="256">
        <f t="shared" si="197"/>
        <v>8.900000000000001E-2</v>
      </c>
      <c r="AL354" s="253">
        <v>42720</v>
      </c>
      <c r="AM354" s="256">
        <f t="shared" si="194"/>
        <v>5.1000000000000018E-2</v>
      </c>
      <c r="AO354" s="253">
        <v>42354</v>
      </c>
      <c r="AP354" s="256">
        <f t="shared" si="195"/>
        <v>0.15799999999999995</v>
      </c>
      <c r="AQ354" s="253">
        <v>42720</v>
      </c>
      <c r="AR354" s="256">
        <f t="shared" si="196"/>
        <v>4.6999999999999993E-2</v>
      </c>
    </row>
    <row r="355" spans="4:44" hidden="1" x14ac:dyDescent="0.2">
      <c r="D355" s="14">
        <v>351</v>
      </c>
      <c r="E355" s="12">
        <v>41625</v>
      </c>
      <c r="F355" s="15">
        <f t="shared" si="188"/>
        <v>6.6125000000000003E-2</v>
      </c>
      <c r="H355" s="14">
        <v>351</v>
      </c>
      <c r="I355" s="12">
        <v>41990</v>
      </c>
      <c r="J355" s="15">
        <f t="shared" si="189"/>
        <v>6.2291666666666662E-2</v>
      </c>
      <c r="K355" s="4"/>
      <c r="L355" s="14">
        <v>351</v>
      </c>
      <c r="M355" s="12">
        <v>42355</v>
      </c>
      <c r="N355" s="15">
        <f t="shared" si="191"/>
        <v>5.270833333333335E-2</v>
      </c>
      <c r="O355" s="141"/>
      <c r="P355" s="14">
        <v>351</v>
      </c>
      <c r="Q355" s="12">
        <v>41990</v>
      </c>
      <c r="R355" s="15">
        <f t="shared" si="190"/>
        <v>4.8875000000000016E-2</v>
      </c>
      <c r="S355" s="4"/>
      <c r="T355" s="14">
        <v>351</v>
      </c>
      <c r="U355" s="12">
        <v>42355</v>
      </c>
      <c r="V355" s="15">
        <f t="shared" si="192"/>
        <v>4.8875000000000016E-2</v>
      </c>
      <c r="AA355" s="14">
        <v>351</v>
      </c>
      <c r="AB355" s="12">
        <v>41259</v>
      </c>
      <c r="AC355" s="15">
        <f t="shared" si="193"/>
        <v>6.9958333333333317E-2</v>
      </c>
      <c r="AI355" s="255">
        <v>351</v>
      </c>
      <c r="AJ355" s="253">
        <v>42355</v>
      </c>
      <c r="AK355" s="256">
        <f t="shared" si="197"/>
        <v>8.900000000000001E-2</v>
      </c>
      <c r="AL355" s="253">
        <v>42721</v>
      </c>
      <c r="AM355" s="256">
        <f t="shared" si="194"/>
        <v>5.1000000000000018E-2</v>
      </c>
      <c r="AO355" s="253">
        <v>42355</v>
      </c>
      <c r="AP355" s="256">
        <f t="shared" si="195"/>
        <v>0.15799999999999995</v>
      </c>
      <c r="AQ355" s="253">
        <v>42721</v>
      </c>
      <c r="AR355" s="256">
        <f t="shared" si="196"/>
        <v>4.6999999999999993E-2</v>
      </c>
    </row>
    <row r="356" spans="4:44" hidden="1" x14ac:dyDescent="0.2">
      <c r="D356" s="14">
        <v>352</v>
      </c>
      <c r="E356" s="12">
        <v>41626</v>
      </c>
      <c r="F356" s="15">
        <f t="shared" si="188"/>
        <v>6.6125000000000003E-2</v>
      </c>
      <c r="H356" s="14">
        <v>352</v>
      </c>
      <c r="I356" s="12">
        <v>41991</v>
      </c>
      <c r="J356" s="15">
        <f t="shared" si="189"/>
        <v>6.2291666666666662E-2</v>
      </c>
      <c r="K356" s="4"/>
      <c r="L356" s="14">
        <v>352</v>
      </c>
      <c r="M356" s="12">
        <v>42356</v>
      </c>
      <c r="N356" s="15">
        <f t="shared" si="191"/>
        <v>5.270833333333335E-2</v>
      </c>
      <c r="O356" s="141"/>
      <c r="P356" s="14">
        <v>352</v>
      </c>
      <c r="Q356" s="12">
        <v>41991</v>
      </c>
      <c r="R356" s="15">
        <f t="shared" si="190"/>
        <v>4.8875000000000016E-2</v>
      </c>
      <c r="S356" s="4"/>
      <c r="T356" s="14">
        <v>352</v>
      </c>
      <c r="U356" s="12">
        <v>42356</v>
      </c>
      <c r="V356" s="15">
        <f t="shared" si="192"/>
        <v>4.8875000000000016E-2</v>
      </c>
      <c r="AA356" s="14">
        <v>352</v>
      </c>
      <c r="AB356" s="12">
        <v>41260</v>
      </c>
      <c r="AC356" s="15">
        <f t="shared" si="193"/>
        <v>6.9958333333333317E-2</v>
      </c>
      <c r="AI356" s="255">
        <v>352</v>
      </c>
      <c r="AJ356" s="253">
        <v>42356</v>
      </c>
      <c r="AK356" s="256">
        <f t="shared" si="197"/>
        <v>8.900000000000001E-2</v>
      </c>
      <c r="AL356" s="253">
        <v>42722</v>
      </c>
      <c r="AM356" s="256">
        <f t="shared" si="194"/>
        <v>5.1000000000000018E-2</v>
      </c>
      <c r="AO356" s="253">
        <v>42356</v>
      </c>
      <c r="AP356" s="256">
        <f t="shared" si="195"/>
        <v>0.15799999999999995</v>
      </c>
      <c r="AQ356" s="253">
        <v>42722</v>
      </c>
      <c r="AR356" s="256">
        <f t="shared" si="196"/>
        <v>4.6999999999999993E-2</v>
      </c>
    </row>
    <row r="357" spans="4:44" hidden="1" x14ac:dyDescent="0.2">
      <c r="D357" s="14">
        <v>353</v>
      </c>
      <c r="E357" s="12">
        <v>41627</v>
      </c>
      <c r="F357" s="15">
        <f t="shared" si="188"/>
        <v>6.6125000000000003E-2</v>
      </c>
      <c r="H357" s="14">
        <v>353</v>
      </c>
      <c r="I357" s="12">
        <v>41992</v>
      </c>
      <c r="J357" s="15">
        <f t="shared" si="189"/>
        <v>6.2291666666666662E-2</v>
      </c>
      <c r="K357" s="4"/>
      <c r="L357" s="14">
        <v>353</v>
      </c>
      <c r="M357" s="12">
        <v>42357</v>
      </c>
      <c r="N357" s="15">
        <f t="shared" si="191"/>
        <v>5.270833333333335E-2</v>
      </c>
      <c r="O357" s="141"/>
      <c r="P357" s="14">
        <v>353</v>
      </c>
      <c r="Q357" s="12">
        <v>41992</v>
      </c>
      <c r="R357" s="15">
        <f t="shared" si="190"/>
        <v>4.8875000000000016E-2</v>
      </c>
      <c r="S357" s="4"/>
      <c r="T357" s="14">
        <v>353</v>
      </c>
      <c r="U357" s="12">
        <v>42357</v>
      </c>
      <c r="V357" s="15">
        <f t="shared" si="192"/>
        <v>4.8875000000000016E-2</v>
      </c>
      <c r="AA357" s="14">
        <v>353</v>
      </c>
      <c r="AB357" s="12">
        <v>41261</v>
      </c>
      <c r="AC357" s="15">
        <f t="shared" si="193"/>
        <v>6.9958333333333317E-2</v>
      </c>
      <c r="AI357" s="255">
        <v>353</v>
      </c>
      <c r="AJ357" s="253">
        <v>42357</v>
      </c>
      <c r="AK357" s="256">
        <f t="shared" si="197"/>
        <v>8.900000000000001E-2</v>
      </c>
      <c r="AL357" s="253">
        <v>42723</v>
      </c>
      <c r="AM357" s="256">
        <f t="shared" si="194"/>
        <v>5.1000000000000018E-2</v>
      </c>
      <c r="AO357" s="253">
        <v>42357</v>
      </c>
      <c r="AP357" s="256">
        <f t="shared" si="195"/>
        <v>0.15799999999999995</v>
      </c>
      <c r="AQ357" s="253">
        <v>42723</v>
      </c>
      <c r="AR357" s="256">
        <f t="shared" si="196"/>
        <v>4.6999999999999993E-2</v>
      </c>
    </row>
    <row r="358" spans="4:44" hidden="1" x14ac:dyDescent="0.2">
      <c r="D358" s="14">
        <v>354</v>
      </c>
      <c r="E358" s="12">
        <v>41628</v>
      </c>
      <c r="F358" s="15">
        <f t="shared" si="188"/>
        <v>6.6125000000000003E-2</v>
      </c>
      <c r="H358" s="14">
        <v>354</v>
      </c>
      <c r="I358" s="12">
        <v>41993</v>
      </c>
      <c r="J358" s="15">
        <f t="shared" si="189"/>
        <v>6.2291666666666662E-2</v>
      </c>
      <c r="K358" s="4"/>
      <c r="L358" s="14">
        <v>354</v>
      </c>
      <c r="M358" s="12">
        <v>42358</v>
      </c>
      <c r="N358" s="15">
        <f t="shared" si="191"/>
        <v>5.270833333333335E-2</v>
      </c>
      <c r="O358" s="141"/>
      <c r="P358" s="14">
        <v>354</v>
      </c>
      <c r="Q358" s="12">
        <v>41993</v>
      </c>
      <c r="R358" s="15">
        <f t="shared" si="190"/>
        <v>4.8875000000000016E-2</v>
      </c>
      <c r="S358" s="4"/>
      <c r="T358" s="14">
        <v>354</v>
      </c>
      <c r="U358" s="12">
        <v>42358</v>
      </c>
      <c r="V358" s="15">
        <f t="shared" si="192"/>
        <v>4.8875000000000016E-2</v>
      </c>
      <c r="AA358" s="14">
        <v>354</v>
      </c>
      <c r="AB358" s="12">
        <v>41262</v>
      </c>
      <c r="AC358" s="15">
        <f t="shared" si="193"/>
        <v>6.9958333333333317E-2</v>
      </c>
      <c r="AI358" s="255">
        <v>354</v>
      </c>
      <c r="AJ358" s="253">
        <v>42358</v>
      </c>
      <c r="AK358" s="256">
        <f t="shared" si="197"/>
        <v>8.900000000000001E-2</v>
      </c>
      <c r="AL358" s="253">
        <v>42724</v>
      </c>
      <c r="AM358" s="256">
        <f t="shared" si="194"/>
        <v>5.1000000000000018E-2</v>
      </c>
      <c r="AO358" s="253">
        <v>42358</v>
      </c>
      <c r="AP358" s="256">
        <f t="shared" si="195"/>
        <v>0.15799999999999995</v>
      </c>
      <c r="AQ358" s="253">
        <v>42724</v>
      </c>
      <c r="AR358" s="256">
        <f t="shared" si="196"/>
        <v>4.6999999999999993E-2</v>
      </c>
    </row>
    <row r="359" spans="4:44" hidden="1" x14ac:dyDescent="0.2">
      <c r="D359" s="14">
        <v>355</v>
      </c>
      <c r="E359" s="12">
        <v>41629</v>
      </c>
      <c r="F359" s="50">
        <f t="shared" ref="F359:F369" si="198">F$329+F$4/D$4/100</f>
        <v>6.9000000000000006E-2</v>
      </c>
      <c r="H359" s="14">
        <v>355</v>
      </c>
      <c r="I359" s="12">
        <v>41994</v>
      </c>
      <c r="J359" s="50">
        <f t="shared" ref="J359:J369" si="199">J$329+J$4/H$4/100</f>
        <v>6.4999999999999988E-2</v>
      </c>
      <c r="K359" s="4"/>
      <c r="L359" s="14">
        <v>355</v>
      </c>
      <c r="M359" s="12">
        <v>42359</v>
      </c>
      <c r="N359" s="50">
        <f>N$329+N$4/L$4/100</f>
        <v>5.5000000000000014E-2</v>
      </c>
      <c r="O359" s="141"/>
      <c r="P359" s="14">
        <v>355</v>
      </c>
      <c r="Q359" s="12">
        <v>41994</v>
      </c>
      <c r="R359" s="50">
        <f t="shared" ref="R359:R369" si="200">R$329+R$4/P$4/100</f>
        <v>5.1000000000000018E-2</v>
      </c>
      <c r="S359" s="4"/>
      <c r="T359" s="14">
        <v>355</v>
      </c>
      <c r="U359" s="12">
        <v>42359</v>
      </c>
      <c r="V359" s="50">
        <f>V$329+V$4/T$4/100</f>
        <v>5.1000000000000018E-2</v>
      </c>
      <c r="AA359" s="51">
        <v>355</v>
      </c>
      <c r="AB359" s="12">
        <v>41263</v>
      </c>
      <c r="AC359" s="15">
        <f>AC$310+AC$4/AA$4/100</f>
        <v>6.9958333333333317E-2</v>
      </c>
      <c r="AI359" s="255">
        <v>355</v>
      </c>
      <c r="AJ359" s="253">
        <v>42359</v>
      </c>
      <c r="AK359" s="256">
        <f t="shared" si="197"/>
        <v>8.900000000000001E-2</v>
      </c>
      <c r="AL359" s="253">
        <v>42725</v>
      </c>
      <c r="AM359" s="256">
        <f t="shared" si="194"/>
        <v>5.1000000000000018E-2</v>
      </c>
      <c r="AO359" s="253">
        <v>42359</v>
      </c>
      <c r="AP359" s="256">
        <f t="shared" si="195"/>
        <v>0.15799999999999995</v>
      </c>
      <c r="AQ359" s="253">
        <v>42725</v>
      </c>
      <c r="AR359" s="256">
        <f t="shared" si="196"/>
        <v>4.6999999999999993E-2</v>
      </c>
    </row>
    <row r="360" spans="4:44" hidden="1" x14ac:dyDescent="0.2">
      <c r="D360" s="14">
        <v>356</v>
      </c>
      <c r="E360" s="12">
        <v>41630</v>
      </c>
      <c r="F360" s="15">
        <f t="shared" si="198"/>
        <v>6.9000000000000006E-2</v>
      </c>
      <c r="H360" s="14">
        <v>356</v>
      </c>
      <c r="I360" s="12">
        <v>41995</v>
      </c>
      <c r="J360" s="15">
        <f t="shared" si="199"/>
        <v>6.4999999999999988E-2</v>
      </c>
      <c r="K360" s="4"/>
      <c r="L360" s="14">
        <v>356</v>
      </c>
      <c r="M360" s="12">
        <v>42360</v>
      </c>
      <c r="N360" s="15">
        <f t="shared" ref="N360:N369" si="201">N$329+N$4/L$4/100</f>
        <v>5.5000000000000014E-2</v>
      </c>
      <c r="O360" s="141"/>
      <c r="P360" s="14">
        <v>356</v>
      </c>
      <c r="Q360" s="12">
        <v>41995</v>
      </c>
      <c r="R360" s="15">
        <f t="shared" si="200"/>
        <v>5.1000000000000018E-2</v>
      </c>
      <c r="S360" s="4"/>
      <c r="T360" s="14">
        <v>356</v>
      </c>
      <c r="U360" s="12">
        <v>42360</v>
      </c>
      <c r="V360" s="15">
        <f t="shared" ref="V360:V369" si="202">V$329+V$4/T$4/100</f>
        <v>5.1000000000000018E-2</v>
      </c>
      <c r="AA360" s="51">
        <v>356</v>
      </c>
      <c r="AB360" s="49">
        <v>41264</v>
      </c>
      <c r="AC360" s="50">
        <f>AC$330+AC$4/AA$4/100</f>
        <v>7.2999999999999982E-2</v>
      </c>
      <c r="AI360" s="255">
        <v>356</v>
      </c>
      <c r="AJ360" s="253">
        <v>42360</v>
      </c>
      <c r="AK360" s="256">
        <f t="shared" si="197"/>
        <v>8.900000000000001E-2</v>
      </c>
      <c r="AL360" s="253">
        <v>42726</v>
      </c>
      <c r="AM360" s="256">
        <f t="shared" si="194"/>
        <v>5.1000000000000018E-2</v>
      </c>
      <c r="AO360" s="253">
        <v>42360</v>
      </c>
      <c r="AP360" s="256">
        <f t="shared" si="195"/>
        <v>0.15799999999999995</v>
      </c>
      <c r="AQ360" s="253">
        <v>42726</v>
      </c>
      <c r="AR360" s="256">
        <f t="shared" si="196"/>
        <v>4.6999999999999993E-2</v>
      </c>
    </row>
    <row r="361" spans="4:44" hidden="1" x14ac:dyDescent="0.2">
      <c r="D361" s="14">
        <v>357</v>
      </c>
      <c r="E361" s="12">
        <v>41631</v>
      </c>
      <c r="F361" s="15">
        <f t="shared" si="198"/>
        <v>6.9000000000000006E-2</v>
      </c>
      <c r="H361" s="14">
        <v>357</v>
      </c>
      <c r="I361" s="12">
        <v>41996</v>
      </c>
      <c r="J361" s="15">
        <f t="shared" si="199"/>
        <v>6.4999999999999988E-2</v>
      </c>
      <c r="K361" s="4"/>
      <c r="L361" s="14">
        <v>357</v>
      </c>
      <c r="M361" s="12">
        <v>42361</v>
      </c>
      <c r="N361" s="15">
        <f t="shared" si="201"/>
        <v>5.5000000000000014E-2</v>
      </c>
      <c r="O361" s="141"/>
      <c r="P361" s="14">
        <v>357</v>
      </c>
      <c r="Q361" s="12">
        <v>41996</v>
      </c>
      <c r="R361" s="15">
        <f t="shared" si="200"/>
        <v>5.1000000000000018E-2</v>
      </c>
      <c r="S361" s="4"/>
      <c r="T361" s="14">
        <v>357</v>
      </c>
      <c r="U361" s="12">
        <v>42361</v>
      </c>
      <c r="V361" s="15">
        <f t="shared" si="202"/>
        <v>5.1000000000000018E-2</v>
      </c>
      <c r="AA361" s="14">
        <v>357</v>
      </c>
      <c r="AB361" s="12">
        <v>41265</v>
      </c>
      <c r="AC361" s="15">
        <f t="shared" ref="AC361:AC370" si="203">AC$330+AC$4/AA$4/100</f>
        <v>7.2999999999999982E-2</v>
      </c>
      <c r="AI361" s="255">
        <v>357</v>
      </c>
      <c r="AJ361" s="253">
        <v>42361</v>
      </c>
      <c r="AK361" s="256">
        <f t="shared" si="197"/>
        <v>8.900000000000001E-2</v>
      </c>
      <c r="AL361" s="253">
        <v>42727</v>
      </c>
      <c r="AM361" s="256">
        <f t="shared" si="194"/>
        <v>5.1000000000000018E-2</v>
      </c>
      <c r="AO361" s="253">
        <v>42361</v>
      </c>
      <c r="AP361" s="256">
        <f t="shared" si="195"/>
        <v>0.15799999999999995</v>
      </c>
      <c r="AQ361" s="253">
        <v>42727</v>
      </c>
      <c r="AR361" s="256">
        <f t="shared" si="196"/>
        <v>4.6999999999999993E-2</v>
      </c>
    </row>
    <row r="362" spans="4:44" hidden="1" x14ac:dyDescent="0.2">
      <c r="D362" s="14">
        <v>358</v>
      </c>
      <c r="E362" s="12">
        <v>41632</v>
      </c>
      <c r="F362" s="15">
        <f t="shared" si="198"/>
        <v>6.9000000000000006E-2</v>
      </c>
      <c r="H362" s="14">
        <v>358</v>
      </c>
      <c r="I362" s="12">
        <v>41997</v>
      </c>
      <c r="J362" s="15">
        <f t="shared" si="199"/>
        <v>6.4999999999999988E-2</v>
      </c>
      <c r="K362" s="4"/>
      <c r="L362" s="14">
        <v>358</v>
      </c>
      <c r="M362" s="12">
        <v>42362</v>
      </c>
      <c r="N362" s="15">
        <f t="shared" si="201"/>
        <v>5.5000000000000014E-2</v>
      </c>
      <c r="O362" s="141"/>
      <c r="P362" s="14">
        <v>358</v>
      </c>
      <c r="Q362" s="12">
        <v>41997</v>
      </c>
      <c r="R362" s="15">
        <f t="shared" si="200"/>
        <v>5.1000000000000018E-2</v>
      </c>
      <c r="S362" s="4"/>
      <c r="T362" s="14">
        <v>358</v>
      </c>
      <c r="U362" s="12">
        <v>42362</v>
      </c>
      <c r="V362" s="15">
        <f t="shared" si="202"/>
        <v>5.1000000000000018E-2</v>
      </c>
      <c r="AA362" s="14">
        <v>358</v>
      </c>
      <c r="AB362" s="12">
        <v>41266</v>
      </c>
      <c r="AC362" s="15">
        <f t="shared" si="203"/>
        <v>7.2999999999999982E-2</v>
      </c>
      <c r="AI362" s="255">
        <v>358</v>
      </c>
      <c r="AJ362" s="253">
        <v>42362</v>
      </c>
      <c r="AK362" s="256">
        <f t="shared" si="197"/>
        <v>8.900000000000001E-2</v>
      </c>
      <c r="AL362" s="253">
        <v>42728</v>
      </c>
      <c r="AM362" s="256">
        <f t="shared" si="194"/>
        <v>5.1000000000000018E-2</v>
      </c>
      <c r="AO362" s="253">
        <v>42362</v>
      </c>
      <c r="AP362" s="256">
        <f t="shared" si="195"/>
        <v>0.15799999999999995</v>
      </c>
      <c r="AQ362" s="253">
        <v>42728</v>
      </c>
      <c r="AR362" s="256">
        <f t="shared" si="196"/>
        <v>4.6999999999999993E-2</v>
      </c>
    </row>
    <row r="363" spans="4:44" hidden="1" x14ac:dyDescent="0.2">
      <c r="D363" s="14">
        <v>359</v>
      </c>
      <c r="E363" s="12">
        <v>41633</v>
      </c>
      <c r="F363" s="15">
        <f t="shared" si="198"/>
        <v>6.9000000000000006E-2</v>
      </c>
      <c r="H363" s="14">
        <v>359</v>
      </c>
      <c r="I363" s="12">
        <v>41998</v>
      </c>
      <c r="J363" s="15">
        <f t="shared" si="199"/>
        <v>6.4999999999999988E-2</v>
      </c>
      <c r="K363" s="4"/>
      <c r="L363" s="14">
        <v>359</v>
      </c>
      <c r="M363" s="12">
        <v>42363</v>
      </c>
      <c r="N363" s="15">
        <f t="shared" si="201"/>
        <v>5.5000000000000014E-2</v>
      </c>
      <c r="O363" s="141"/>
      <c r="P363" s="14">
        <v>359</v>
      </c>
      <c r="Q363" s="12">
        <v>41998</v>
      </c>
      <c r="R363" s="15">
        <f t="shared" si="200"/>
        <v>5.1000000000000018E-2</v>
      </c>
      <c r="S363" s="4"/>
      <c r="T363" s="14">
        <v>359</v>
      </c>
      <c r="U363" s="12">
        <v>42363</v>
      </c>
      <c r="V363" s="15">
        <f t="shared" si="202"/>
        <v>5.1000000000000018E-2</v>
      </c>
      <c r="AA363" s="14">
        <v>359</v>
      </c>
      <c r="AB363" s="12">
        <v>41267</v>
      </c>
      <c r="AC363" s="15">
        <f t="shared" si="203"/>
        <v>7.2999999999999982E-2</v>
      </c>
      <c r="AI363" s="255">
        <v>359</v>
      </c>
      <c r="AJ363" s="253">
        <v>42363</v>
      </c>
      <c r="AK363" s="256">
        <f t="shared" si="197"/>
        <v>8.900000000000001E-2</v>
      </c>
      <c r="AL363" s="253">
        <v>42729</v>
      </c>
      <c r="AM363" s="256">
        <f t="shared" si="194"/>
        <v>5.1000000000000018E-2</v>
      </c>
      <c r="AO363" s="253">
        <v>42363</v>
      </c>
      <c r="AP363" s="256">
        <f t="shared" si="195"/>
        <v>0.15799999999999995</v>
      </c>
      <c r="AQ363" s="253">
        <v>42729</v>
      </c>
      <c r="AR363" s="256">
        <f t="shared" si="196"/>
        <v>4.6999999999999993E-2</v>
      </c>
    </row>
    <row r="364" spans="4:44" hidden="1" x14ac:dyDescent="0.2">
      <c r="D364" s="14">
        <v>360</v>
      </c>
      <c r="E364" s="12">
        <v>41634</v>
      </c>
      <c r="F364" s="15">
        <f t="shared" si="198"/>
        <v>6.9000000000000006E-2</v>
      </c>
      <c r="H364" s="14">
        <v>360</v>
      </c>
      <c r="I364" s="12">
        <v>41999</v>
      </c>
      <c r="J364" s="15">
        <f t="shared" si="199"/>
        <v>6.4999999999999988E-2</v>
      </c>
      <c r="K364" s="4"/>
      <c r="L364" s="14">
        <v>360</v>
      </c>
      <c r="M364" s="12">
        <v>42364</v>
      </c>
      <c r="N364" s="15">
        <f t="shared" si="201"/>
        <v>5.5000000000000014E-2</v>
      </c>
      <c r="O364" s="141"/>
      <c r="P364" s="14">
        <v>360</v>
      </c>
      <c r="Q364" s="12">
        <v>41999</v>
      </c>
      <c r="R364" s="15">
        <f t="shared" si="200"/>
        <v>5.1000000000000018E-2</v>
      </c>
      <c r="S364" s="4"/>
      <c r="T364" s="14">
        <v>360</v>
      </c>
      <c r="U364" s="12">
        <v>42364</v>
      </c>
      <c r="V364" s="15">
        <f t="shared" si="202"/>
        <v>5.1000000000000018E-2</v>
      </c>
      <c r="AA364" s="14">
        <v>360</v>
      </c>
      <c r="AB364" s="12">
        <v>41268</v>
      </c>
      <c r="AC364" s="15">
        <f t="shared" si="203"/>
        <v>7.2999999999999982E-2</v>
      </c>
      <c r="AI364" s="255">
        <v>360</v>
      </c>
      <c r="AJ364" s="253">
        <v>42364</v>
      </c>
      <c r="AK364" s="256">
        <f t="shared" si="197"/>
        <v>8.900000000000001E-2</v>
      </c>
      <c r="AL364" s="253">
        <v>42730</v>
      </c>
      <c r="AM364" s="256">
        <f t="shared" si="194"/>
        <v>5.1000000000000018E-2</v>
      </c>
      <c r="AO364" s="253">
        <v>42364</v>
      </c>
      <c r="AP364" s="256">
        <f t="shared" si="195"/>
        <v>0.15799999999999995</v>
      </c>
      <c r="AQ364" s="253">
        <v>42730</v>
      </c>
      <c r="AR364" s="256">
        <f t="shared" si="196"/>
        <v>4.6999999999999993E-2</v>
      </c>
    </row>
    <row r="365" spans="4:44" hidden="1" x14ac:dyDescent="0.2">
      <c r="D365" s="14">
        <v>361</v>
      </c>
      <c r="E365" s="12">
        <v>41635</v>
      </c>
      <c r="F365" s="15">
        <f t="shared" si="198"/>
        <v>6.9000000000000006E-2</v>
      </c>
      <c r="H365" s="14">
        <v>361</v>
      </c>
      <c r="I365" s="12">
        <v>42000</v>
      </c>
      <c r="J365" s="15">
        <f t="shared" si="199"/>
        <v>6.4999999999999988E-2</v>
      </c>
      <c r="K365" s="4"/>
      <c r="L365" s="14">
        <v>361</v>
      </c>
      <c r="M365" s="12">
        <v>42365</v>
      </c>
      <c r="N365" s="15">
        <f t="shared" si="201"/>
        <v>5.5000000000000014E-2</v>
      </c>
      <c r="O365" s="141"/>
      <c r="P365" s="14">
        <v>361</v>
      </c>
      <c r="Q365" s="12">
        <v>42000</v>
      </c>
      <c r="R365" s="15">
        <f t="shared" si="200"/>
        <v>5.1000000000000018E-2</v>
      </c>
      <c r="S365" s="4"/>
      <c r="T365" s="14">
        <v>361</v>
      </c>
      <c r="U365" s="12">
        <v>42365</v>
      </c>
      <c r="V365" s="15">
        <f t="shared" si="202"/>
        <v>5.1000000000000018E-2</v>
      </c>
      <c r="AA365" s="14">
        <v>361</v>
      </c>
      <c r="AB365" s="12">
        <v>41269</v>
      </c>
      <c r="AC365" s="15">
        <f t="shared" si="203"/>
        <v>7.2999999999999982E-2</v>
      </c>
      <c r="AI365" s="255">
        <v>361</v>
      </c>
      <c r="AJ365" s="253">
        <v>42365</v>
      </c>
      <c r="AK365" s="256">
        <f t="shared" si="197"/>
        <v>8.900000000000001E-2</v>
      </c>
      <c r="AL365" s="253">
        <v>42731</v>
      </c>
      <c r="AM365" s="256">
        <f t="shared" si="194"/>
        <v>5.1000000000000018E-2</v>
      </c>
      <c r="AO365" s="253">
        <v>42365</v>
      </c>
      <c r="AP365" s="256">
        <f t="shared" si="195"/>
        <v>0.15799999999999995</v>
      </c>
      <c r="AQ365" s="253">
        <v>42731</v>
      </c>
      <c r="AR365" s="256">
        <f t="shared" si="196"/>
        <v>4.6999999999999993E-2</v>
      </c>
    </row>
    <row r="366" spans="4:44" hidden="1" x14ac:dyDescent="0.2">
      <c r="D366" s="14">
        <v>362</v>
      </c>
      <c r="E366" s="12">
        <v>41636</v>
      </c>
      <c r="F366" s="15">
        <f t="shared" si="198"/>
        <v>6.9000000000000006E-2</v>
      </c>
      <c r="H366" s="14">
        <v>362</v>
      </c>
      <c r="I366" s="12">
        <v>42001</v>
      </c>
      <c r="J366" s="15">
        <f t="shared" si="199"/>
        <v>6.4999999999999988E-2</v>
      </c>
      <c r="K366" s="4"/>
      <c r="L366" s="14">
        <v>362</v>
      </c>
      <c r="M366" s="12">
        <v>42366</v>
      </c>
      <c r="N366" s="15">
        <f t="shared" si="201"/>
        <v>5.5000000000000014E-2</v>
      </c>
      <c r="O366" s="141"/>
      <c r="P366" s="14">
        <v>362</v>
      </c>
      <c r="Q366" s="12">
        <v>42001</v>
      </c>
      <c r="R366" s="15">
        <f t="shared" si="200"/>
        <v>5.1000000000000018E-2</v>
      </c>
      <c r="S366" s="4"/>
      <c r="T366" s="14">
        <v>362</v>
      </c>
      <c r="U366" s="12">
        <v>42366</v>
      </c>
      <c r="V366" s="15">
        <f t="shared" si="202"/>
        <v>5.1000000000000018E-2</v>
      </c>
      <c r="AA366" s="14">
        <v>362</v>
      </c>
      <c r="AB366" s="12">
        <v>41270</v>
      </c>
      <c r="AC366" s="15">
        <f t="shared" si="203"/>
        <v>7.2999999999999982E-2</v>
      </c>
      <c r="AI366" s="255">
        <v>362</v>
      </c>
      <c r="AJ366" s="253">
        <v>42366</v>
      </c>
      <c r="AK366" s="256">
        <f t="shared" si="197"/>
        <v>8.900000000000001E-2</v>
      </c>
      <c r="AL366" s="253">
        <v>42732</v>
      </c>
      <c r="AM366" s="256">
        <f t="shared" si="194"/>
        <v>5.1000000000000018E-2</v>
      </c>
      <c r="AO366" s="253">
        <v>42366</v>
      </c>
      <c r="AP366" s="256">
        <f t="shared" si="195"/>
        <v>0.15799999999999995</v>
      </c>
      <c r="AQ366" s="253">
        <v>42732</v>
      </c>
      <c r="AR366" s="256">
        <f t="shared" si="196"/>
        <v>4.6999999999999993E-2</v>
      </c>
    </row>
    <row r="367" spans="4:44" hidden="1" x14ac:dyDescent="0.2">
      <c r="D367" s="14">
        <v>363</v>
      </c>
      <c r="E367" s="12">
        <v>41637</v>
      </c>
      <c r="F367" s="15">
        <f t="shared" si="198"/>
        <v>6.9000000000000006E-2</v>
      </c>
      <c r="H367" s="14">
        <v>363</v>
      </c>
      <c r="I367" s="12">
        <v>42002</v>
      </c>
      <c r="J367" s="15">
        <f t="shared" si="199"/>
        <v>6.4999999999999988E-2</v>
      </c>
      <c r="K367" s="4"/>
      <c r="L367" s="14">
        <v>363</v>
      </c>
      <c r="M367" s="12">
        <v>42367</v>
      </c>
      <c r="N367" s="15">
        <f t="shared" si="201"/>
        <v>5.5000000000000014E-2</v>
      </c>
      <c r="O367" s="141"/>
      <c r="P367" s="14">
        <v>363</v>
      </c>
      <c r="Q367" s="12">
        <v>42002</v>
      </c>
      <c r="R367" s="15">
        <f t="shared" si="200"/>
        <v>5.1000000000000018E-2</v>
      </c>
      <c r="S367" s="4"/>
      <c r="T367" s="14">
        <v>363</v>
      </c>
      <c r="U367" s="12">
        <v>42367</v>
      </c>
      <c r="V367" s="15">
        <f t="shared" si="202"/>
        <v>5.1000000000000018E-2</v>
      </c>
      <c r="AA367" s="14">
        <v>363</v>
      </c>
      <c r="AB367" s="12">
        <v>41271</v>
      </c>
      <c r="AC367" s="15">
        <f t="shared" si="203"/>
        <v>7.2999999999999982E-2</v>
      </c>
      <c r="AI367" s="255">
        <v>363</v>
      </c>
      <c r="AJ367" s="253">
        <v>42367</v>
      </c>
      <c r="AK367" s="256">
        <f t="shared" si="197"/>
        <v>8.900000000000001E-2</v>
      </c>
      <c r="AL367" s="253">
        <v>42733</v>
      </c>
      <c r="AM367" s="256">
        <f t="shared" si="194"/>
        <v>5.1000000000000018E-2</v>
      </c>
      <c r="AO367" s="253">
        <v>42367</v>
      </c>
      <c r="AP367" s="256">
        <f t="shared" si="195"/>
        <v>0.15799999999999995</v>
      </c>
      <c r="AQ367" s="253">
        <v>42733</v>
      </c>
      <c r="AR367" s="256">
        <f t="shared" si="196"/>
        <v>4.6999999999999993E-2</v>
      </c>
    </row>
    <row r="368" spans="4:44" hidden="1" x14ac:dyDescent="0.2">
      <c r="D368" s="14">
        <v>364</v>
      </c>
      <c r="E368" s="12">
        <v>41638</v>
      </c>
      <c r="F368" s="15">
        <f t="shared" si="198"/>
        <v>6.9000000000000006E-2</v>
      </c>
      <c r="H368" s="14">
        <v>364</v>
      </c>
      <c r="I368" s="12">
        <v>42003</v>
      </c>
      <c r="J368" s="15">
        <f t="shared" si="199"/>
        <v>6.4999999999999988E-2</v>
      </c>
      <c r="K368" s="4"/>
      <c r="L368" s="14">
        <v>364</v>
      </c>
      <c r="M368" s="12">
        <v>42368</v>
      </c>
      <c r="N368" s="15">
        <f t="shared" si="201"/>
        <v>5.5000000000000014E-2</v>
      </c>
      <c r="O368" s="141"/>
      <c r="P368" s="14">
        <v>364</v>
      </c>
      <c r="Q368" s="12">
        <v>42003</v>
      </c>
      <c r="R368" s="15">
        <f t="shared" si="200"/>
        <v>5.1000000000000018E-2</v>
      </c>
      <c r="S368" s="4"/>
      <c r="T368" s="14">
        <v>364</v>
      </c>
      <c r="U368" s="12">
        <v>42368</v>
      </c>
      <c r="V368" s="15">
        <f t="shared" si="202"/>
        <v>5.1000000000000018E-2</v>
      </c>
      <c r="AA368" s="14">
        <v>364</v>
      </c>
      <c r="AB368" s="12">
        <v>41272</v>
      </c>
      <c r="AC368" s="15">
        <f t="shared" si="203"/>
        <v>7.2999999999999982E-2</v>
      </c>
      <c r="AI368" s="255">
        <v>364</v>
      </c>
      <c r="AJ368" s="253">
        <v>42368</v>
      </c>
      <c r="AK368" s="256">
        <f t="shared" si="197"/>
        <v>8.900000000000001E-2</v>
      </c>
      <c r="AL368" s="253">
        <v>42734</v>
      </c>
      <c r="AM368" s="256">
        <f t="shared" si="194"/>
        <v>5.1000000000000018E-2</v>
      </c>
      <c r="AO368" s="253">
        <v>42368</v>
      </c>
      <c r="AP368" s="256">
        <f t="shared" si="195"/>
        <v>0.15799999999999995</v>
      </c>
      <c r="AQ368" s="253">
        <v>42734</v>
      </c>
      <c r="AR368" s="256">
        <f t="shared" si="196"/>
        <v>4.6999999999999993E-2</v>
      </c>
    </row>
    <row r="369" spans="4:44" hidden="1" x14ac:dyDescent="0.2">
      <c r="D369" s="14">
        <v>365</v>
      </c>
      <c r="E369" s="12">
        <v>41639</v>
      </c>
      <c r="F369" s="15">
        <f t="shared" si="198"/>
        <v>6.9000000000000006E-2</v>
      </c>
      <c r="H369" s="14">
        <v>365</v>
      </c>
      <c r="I369" s="12">
        <v>42004</v>
      </c>
      <c r="J369" s="15">
        <f t="shared" si="199"/>
        <v>6.4999999999999988E-2</v>
      </c>
      <c r="K369" s="4"/>
      <c r="L369" s="14">
        <v>365</v>
      </c>
      <c r="M369" s="12">
        <v>42369</v>
      </c>
      <c r="N369" s="15">
        <f t="shared" si="201"/>
        <v>5.5000000000000014E-2</v>
      </c>
      <c r="O369" s="141"/>
      <c r="P369" s="14">
        <v>365</v>
      </c>
      <c r="Q369" s="12">
        <v>42004</v>
      </c>
      <c r="R369" s="15">
        <f t="shared" si="200"/>
        <v>5.1000000000000018E-2</v>
      </c>
      <c r="S369" s="4"/>
      <c r="T369" s="14">
        <v>365</v>
      </c>
      <c r="U369" s="12">
        <v>42369</v>
      </c>
      <c r="V369" s="15">
        <f t="shared" si="202"/>
        <v>5.1000000000000018E-2</v>
      </c>
      <c r="AA369" s="14">
        <v>365</v>
      </c>
      <c r="AB369" s="12">
        <v>41273</v>
      </c>
      <c r="AC369" s="15">
        <f t="shared" si="203"/>
        <v>7.2999999999999982E-2</v>
      </c>
      <c r="AI369" s="255">
        <v>365</v>
      </c>
      <c r="AJ369" s="253">
        <v>42369</v>
      </c>
      <c r="AK369" s="256">
        <f t="shared" si="197"/>
        <v>8.900000000000001E-2</v>
      </c>
      <c r="AL369" s="253">
        <v>42735</v>
      </c>
      <c r="AM369" s="256">
        <f t="shared" si="194"/>
        <v>5.1000000000000018E-2</v>
      </c>
      <c r="AO369" s="253">
        <v>42369</v>
      </c>
      <c r="AP369" s="256">
        <f t="shared" si="195"/>
        <v>0.15799999999999995</v>
      </c>
      <c r="AQ369" s="253">
        <v>42735</v>
      </c>
      <c r="AR369" s="256">
        <f t="shared" si="196"/>
        <v>4.6999999999999993E-2</v>
      </c>
    </row>
    <row r="370" spans="4:44" x14ac:dyDescent="0.2">
      <c r="D370" s="14"/>
      <c r="E370" s="12"/>
      <c r="F370" s="15"/>
      <c r="I370" s="4"/>
      <c r="J370" s="4"/>
      <c r="K370" s="4"/>
      <c r="M370" s="4"/>
      <c r="N370" s="4"/>
      <c r="Q370" s="4"/>
      <c r="R370" s="4"/>
      <c r="S370" s="4"/>
      <c r="U370" s="4"/>
      <c r="V370" s="4"/>
      <c r="AA370" s="14">
        <v>366</v>
      </c>
      <c r="AB370" s="12">
        <v>41274</v>
      </c>
      <c r="AC370" s="15">
        <f t="shared" si="203"/>
        <v>7.2999999999999982E-2</v>
      </c>
    </row>
    <row r="371" spans="4:44" x14ac:dyDescent="0.2">
      <c r="I371" s="4"/>
      <c r="J371" s="4"/>
      <c r="K371" s="4"/>
      <c r="M371" s="4"/>
      <c r="N371" s="4"/>
      <c r="Q371" s="4"/>
      <c r="R371" s="4"/>
      <c r="S371" s="4"/>
      <c r="U371" s="4"/>
      <c r="V371" s="4"/>
    </row>
    <row r="372" spans="4:44" x14ac:dyDescent="0.2">
      <c r="I372" s="4"/>
      <c r="J372" s="4"/>
      <c r="K372" s="4"/>
      <c r="M372" s="4"/>
      <c r="N372" s="4"/>
      <c r="Q372" s="4"/>
      <c r="R372" s="4"/>
      <c r="S372" s="4"/>
      <c r="U372" s="4"/>
      <c r="V372" s="4"/>
    </row>
    <row r="373" spans="4:44" x14ac:dyDescent="0.2">
      <c r="I373" s="4"/>
      <c r="J373" s="4"/>
      <c r="K373" s="4"/>
      <c r="M373" s="4"/>
      <c r="N373" s="4"/>
      <c r="Q373" s="4"/>
      <c r="R373" s="4"/>
      <c r="S373" s="4"/>
      <c r="U373" s="4"/>
      <c r="V373" s="4"/>
    </row>
    <row r="374" spans="4:44" x14ac:dyDescent="0.2">
      <c r="I374" s="4"/>
      <c r="J374" s="4"/>
      <c r="K374" s="4"/>
      <c r="M374" s="4"/>
      <c r="N374" s="4"/>
      <c r="Q374" s="4"/>
      <c r="R374" s="4"/>
      <c r="S374" s="4"/>
      <c r="U374" s="4"/>
      <c r="V374" s="4"/>
    </row>
    <row r="375" spans="4:44" x14ac:dyDescent="0.2">
      <c r="I375" s="4"/>
      <c r="J375" s="4"/>
      <c r="K375" s="4"/>
      <c r="M375" s="4"/>
      <c r="N375" s="4"/>
      <c r="Q375" s="4"/>
      <c r="R375" s="4"/>
      <c r="S375" s="4"/>
      <c r="U375" s="4"/>
      <c r="V375" s="4"/>
    </row>
    <row r="376" spans="4:44" x14ac:dyDescent="0.2">
      <c r="I376" s="4"/>
      <c r="J376" s="4"/>
      <c r="K376" s="4"/>
      <c r="M376" s="4"/>
      <c r="N376" s="4"/>
      <c r="Q376" s="4"/>
      <c r="R376" s="4"/>
      <c r="S376" s="4"/>
      <c r="U376" s="4"/>
      <c r="V376" s="4"/>
    </row>
    <row r="377" spans="4:44" x14ac:dyDescent="0.2">
      <c r="I377" s="4"/>
      <c r="J377" s="4"/>
      <c r="K377" s="4"/>
      <c r="M377" s="4"/>
      <c r="N377" s="4"/>
      <c r="Q377" s="4"/>
      <c r="R377" s="4"/>
      <c r="S377" s="4"/>
      <c r="U377" s="4"/>
      <c r="V377" s="4"/>
    </row>
    <row r="378" spans="4:44" x14ac:dyDescent="0.2">
      <c r="I378" s="4"/>
      <c r="J378" s="4"/>
      <c r="K378" s="4"/>
      <c r="M378" s="4"/>
      <c r="N378" s="4"/>
      <c r="Q378" s="4"/>
      <c r="R378" s="4"/>
      <c r="S378" s="4"/>
      <c r="U378" s="4"/>
      <c r="V378" s="4"/>
    </row>
    <row r="379" spans="4:44" x14ac:dyDescent="0.2">
      <c r="I379" s="4"/>
      <c r="J379" s="4"/>
      <c r="K379" s="4"/>
      <c r="M379" s="4"/>
      <c r="N379" s="4"/>
      <c r="Q379" s="4"/>
      <c r="R379" s="4"/>
      <c r="S379" s="4"/>
      <c r="U379" s="4"/>
      <c r="V379" s="4"/>
    </row>
    <row r="380" spans="4:44" x14ac:dyDescent="0.2">
      <c r="I380" s="4"/>
      <c r="J380" s="4"/>
      <c r="K380" s="4"/>
      <c r="M380" s="4"/>
      <c r="N380" s="4"/>
      <c r="Q380" s="4"/>
      <c r="R380" s="4"/>
      <c r="S380" s="4"/>
      <c r="U380" s="4"/>
      <c r="V380" s="4"/>
    </row>
    <row r="381" spans="4:44" x14ac:dyDescent="0.2">
      <c r="I381" s="4"/>
      <c r="J381" s="4"/>
      <c r="K381" s="4"/>
      <c r="M381" s="4"/>
      <c r="N381" s="4"/>
      <c r="Q381" s="4"/>
      <c r="R381" s="4"/>
      <c r="S381" s="4"/>
      <c r="U381" s="4"/>
      <c r="V381" s="4"/>
    </row>
    <row r="382" spans="4:44" x14ac:dyDescent="0.2">
      <c r="I382" s="4"/>
      <c r="J382" s="4"/>
      <c r="K382" s="4"/>
      <c r="M382" s="4"/>
      <c r="N382" s="4"/>
      <c r="Q382" s="4"/>
      <c r="R382" s="4"/>
      <c r="S382" s="4"/>
      <c r="U382" s="4"/>
      <c r="V382" s="4"/>
    </row>
    <row r="383" spans="4:44" x14ac:dyDescent="0.2">
      <c r="I383" s="4"/>
      <c r="J383" s="4"/>
      <c r="K383" s="4"/>
      <c r="M383" s="4"/>
      <c r="N383" s="4"/>
      <c r="Q383" s="4"/>
      <c r="R383" s="4"/>
      <c r="S383" s="4"/>
      <c r="U383" s="4"/>
      <c r="V383" s="4"/>
    </row>
    <row r="384" spans="4:44" x14ac:dyDescent="0.2">
      <c r="I384" s="4"/>
      <c r="J384" s="4"/>
      <c r="K384" s="4"/>
      <c r="M384" s="4"/>
      <c r="N384" s="4"/>
      <c r="Q384" s="4"/>
      <c r="R384" s="4"/>
      <c r="S384" s="4"/>
      <c r="U384" s="4"/>
      <c r="V384" s="4"/>
    </row>
    <row r="385" spans="9:22" x14ac:dyDescent="0.2">
      <c r="I385" s="4"/>
      <c r="J385" s="4"/>
      <c r="K385" s="4"/>
      <c r="M385" s="4"/>
      <c r="N385" s="4"/>
      <c r="Q385" s="4"/>
      <c r="R385" s="4"/>
      <c r="S385" s="4"/>
      <c r="U385" s="4"/>
      <c r="V385" s="4"/>
    </row>
    <row r="386" spans="9:22" x14ac:dyDescent="0.2">
      <c r="I386" s="4"/>
      <c r="J386" s="4"/>
      <c r="K386" s="4"/>
      <c r="M386" s="4"/>
      <c r="N386" s="4"/>
      <c r="Q386" s="4"/>
      <c r="R386" s="4"/>
      <c r="S386" s="4"/>
      <c r="U386" s="4"/>
      <c r="V386" s="4"/>
    </row>
    <row r="387" spans="9:22" x14ac:dyDescent="0.2">
      <c r="I387" s="4"/>
      <c r="J387" s="4"/>
      <c r="K387" s="4"/>
      <c r="M387" s="4"/>
      <c r="N387" s="4"/>
      <c r="Q387" s="4"/>
      <c r="R387" s="4"/>
      <c r="S387" s="4"/>
      <c r="U387" s="4"/>
      <c r="V387" s="4"/>
    </row>
    <row r="388" spans="9:22" x14ac:dyDescent="0.2">
      <c r="I388" s="4"/>
      <c r="J388" s="4"/>
      <c r="K388" s="4"/>
      <c r="M388" s="4"/>
      <c r="N388" s="4"/>
      <c r="Q388" s="4"/>
      <c r="R388" s="4"/>
      <c r="S388" s="4"/>
      <c r="U388" s="4"/>
      <c r="V388" s="4"/>
    </row>
  </sheetData>
  <sheetProtection password="CAE6" sheet="1" objects="1" scenarios="1" selectLockedCells="1" selectUnlockedCells="1"/>
  <customSheetViews>
    <customSheetView guid="{76AC8A47-0222-474F-85DA-9CB477F01022}" showGridLines="0" zeroValues="0" state="hidden">
      <pane xSplit="1" ySplit="4" topLeftCell="B172" activePane="bottomRight" state="frozen"/>
      <selection pane="bottomRight" activeCell="B27" sqref="B27:B41"/>
      <pageMargins left="0.75" right="0.75" top="1" bottom="1" header="0.5" footer="0.5"/>
      <headerFooter alignWithMargins="0"/>
    </customSheetView>
    <customSheetView guid="{4A5FEB23-9FEA-4E9B-A143-FBC359C68DA8}" showGridLines="0" zeroValues="0" state="hidden" showRuler="0">
      <pane xSplit="1" ySplit="4" topLeftCell="B16" activePane="bottomRight" state="frozen"/>
      <selection pane="bottomRight" activeCell="B27" sqref="B27:B41"/>
      <pageMargins left="0.75" right="0.75" top="1" bottom="1" header="0.5" footer="0.5"/>
      <headerFooter alignWithMargins="0"/>
    </customSheetView>
    <customSheetView guid="{BBEE06E4-9205-40DB-9C78-E17648755B00}" showGridLines="0" zeroValues="0" state="hidden" showRuler="0">
      <pane xSplit="1" ySplit="4" topLeftCell="B16" activePane="bottomRight" state="frozen"/>
      <selection pane="bottomRight" activeCell="B27" sqref="B27:B41"/>
      <pageMargins left="0.75" right="0.75" top="1" bottom="1" header="0.5" footer="0.5"/>
      <headerFooter alignWithMargins="0"/>
    </customSheetView>
    <customSheetView guid="{67AC2CBC-2876-4E14-8EE2-582C5F737BC3}" showGridLines="0" zeroValues="0" state="hidden" showRuler="0">
      <pane xSplit="1" ySplit="4" topLeftCell="B16" activePane="bottomRight" state="frozen"/>
      <selection pane="bottomRight" activeCell="B27" sqref="B27:B41"/>
      <pageMargins left="0.75" right="0.75" top="1" bottom="1" header="0.5" footer="0.5"/>
      <headerFooter alignWithMargins="0"/>
    </customSheetView>
    <customSheetView guid="{E031E075-6987-4F32-9116-EC6B3E9AF434}" showGridLines="0" zeroValues="0" state="hidden">
      <pane xSplit="1" ySplit="4" topLeftCell="B172" activePane="bottomRight" state="frozen"/>
      <selection pane="bottomRight" activeCell="B27" sqref="B27:B41"/>
      <pageMargins left="0.75" right="0.75" top="1" bottom="1" header="0.5" footer="0.5"/>
      <headerFooter alignWithMargins="0"/>
    </customSheetView>
  </customSheetViews>
  <mergeCells count="10">
    <mergeCell ref="AQ2:AR2"/>
    <mergeCell ref="AO1:AR1"/>
    <mergeCell ref="AL2:AM2"/>
    <mergeCell ref="AI1:AM1"/>
    <mergeCell ref="D1:F1"/>
    <mergeCell ref="H1:J1"/>
    <mergeCell ref="AA1:AC1"/>
    <mergeCell ref="L1:N1"/>
    <mergeCell ref="P1:R1"/>
    <mergeCell ref="T1:V1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W89"/>
  <sheetViews>
    <sheetView showGridLines="0" showZeros="0" zoomScale="115" zoomScaleNormal="11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O4" sqref="O4"/>
    </sheetView>
  </sheetViews>
  <sheetFormatPr defaultColWidth="9.140625" defaultRowHeight="12.75" outlineLevelCol="1" x14ac:dyDescent="0.2"/>
  <cols>
    <col min="1" max="1" width="4.28515625" style="172" customWidth="1"/>
    <col min="2" max="2" width="19.140625" style="176" customWidth="1"/>
    <col min="3" max="9" width="9.140625" style="173"/>
    <col min="10" max="14" width="9.140625" style="173" hidden="1" customWidth="1" outlineLevel="1"/>
    <col min="15" max="15" width="9.140625" style="173" collapsed="1"/>
    <col min="16" max="36" width="9.140625" style="173"/>
    <col min="37" max="42" width="10.28515625" style="173" bestFit="1" customWidth="1"/>
    <col min="43" max="16384" width="9.140625" style="173"/>
  </cols>
  <sheetData>
    <row r="1" spans="1:49" s="163" customFormat="1" ht="12.75" customHeight="1" x14ac:dyDescent="0.2">
      <c r="A1" s="161"/>
      <c r="B1" s="162"/>
      <c r="C1" s="432"/>
      <c r="D1" s="432"/>
      <c r="E1" s="432"/>
      <c r="F1" s="432"/>
      <c r="G1" s="432"/>
      <c r="H1" s="432"/>
      <c r="I1" s="433"/>
      <c r="J1" s="424" t="s">
        <v>95</v>
      </c>
      <c r="K1" s="425"/>
      <c r="L1" s="425"/>
      <c r="M1" s="425"/>
      <c r="N1" s="429"/>
      <c r="O1" s="424" t="s">
        <v>95</v>
      </c>
      <c r="P1" s="425"/>
      <c r="Q1" s="425"/>
      <c r="R1" s="425"/>
      <c r="S1" s="425"/>
      <c r="T1" s="425"/>
      <c r="U1" s="425"/>
      <c r="V1" s="425" t="s">
        <v>95</v>
      </c>
      <c r="W1" s="425"/>
      <c r="X1" s="425"/>
      <c r="Y1" s="425"/>
      <c r="Z1" s="425"/>
      <c r="AA1" s="425"/>
      <c r="AB1" s="429"/>
      <c r="AC1" s="425"/>
      <c r="AD1" s="425"/>
      <c r="AE1" s="425"/>
      <c r="AF1" s="425"/>
      <c r="AG1" s="429"/>
      <c r="AH1" s="424" t="s">
        <v>95</v>
      </c>
      <c r="AI1" s="425"/>
      <c r="AJ1" s="425"/>
      <c r="AK1" s="425"/>
      <c r="AL1" s="425"/>
      <c r="AM1" s="429"/>
      <c r="AN1" s="424" t="s">
        <v>95</v>
      </c>
      <c r="AO1" s="425"/>
      <c r="AP1" s="432" t="s">
        <v>95</v>
      </c>
      <c r="AQ1" s="432"/>
      <c r="AR1" s="432"/>
      <c r="AS1" s="432"/>
      <c r="AT1" s="432"/>
      <c r="AU1" s="432"/>
      <c r="AV1" s="432"/>
      <c r="AW1" s="433"/>
    </row>
    <row r="2" spans="1:49" s="19" customFormat="1" ht="31.5" x14ac:dyDescent="0.2">
      <c r="A2" s="145" t="s">
        <v>111</v>
      </c>
      <c r="B2" s="145" t="s">
        <v>76</v>
      </c>
      <c r="C2" s="27" t="s">
        <v>79</v>
      </c>
      <c r="D2" s="27" t="s">
        <v>114</v>
      </c>
      <c r="E2" s="27" t="s">
        <v>22</v>
      </c>
      <c r="F2" s="27" t="s">
        <v>78</v>
      </c>
      <c r="G2" s="27" t="s">
        <v>104</v>
      </c>
      <c r="H2" s="27" t="s">
        <v>4</v>
      </c>
      <c r="I2" s="27" t="s">
        <v>94</v>
      </c>
      <c r="J2" s="145" t="s">
        <v>22</v>
      </c>
      <c r="K2" s="145" t="s">
        <v>78</v>
      </c>
      <c r="L2" s="145" t="s">
        <v>104</v>
      </c>
      <c r="M2" s="145" t="s">
        <v>4</v>
      </c>
      <c r="N2" s="145" t="s">
        <v>94</v>
      </c>
      <c r="O2" s="155" t="s">
        <v>79</v>
      </c>
      <c r="P2" s="155" t="s">
        <v>114</v>
      </c>
      <c r="Q2" s="155" t="s">
        <v>22</v>
      </c>
      <c r="R2" s="155" t="s">
        <v>78</v>
      </c>
      <c r="S2" s="155" t="s">
        <v>104</v>
      </c>
      <c r="T2" s="155" t="s">
        <v>4</v>
      </c>
      <c r="U2" s="155" t="s">
        <v>94</v>
      </c>
      <c r="V2" s="145" t="s">
        <v>113</v>
      </c>
      <c r="W2" s="145" t="s">
        <v>80</v>
      </c>
      <c r="X2" s="145" t="s">
        <v>79</v>
      </c>
      <c r="Y2" s="145" t="s">
        <v>114</v>
      </c>
      <c r="Z2" s="145" t="s">
        <v>78</v>
      </c>
      <c r="AA2" s="145" t="s">
        <v>104</v>
      </c>
      <c r="AB2" s="145" t="s">
        <v>126</v>
      </c>
      <c r="AC2" s="27" t="s">
        <v>79</v>
      </c>
      <c r="AD2" s="27" t="s">
        <v>78</v>
      </c>
      <c r="AE2" s="27" t="s">
        <v>62</v>
      </c>
      <c r="AF2" s="27" t="s">
        <v>4</v>
      </c>
      <c r="AG2" s="27" t="s">
        <v>94</v>
      </c>
      <c r="AH2" s="34" t="s">
        <v>114</v>
      </c>
      <c r="AI2" s="34" t="s">
        <v>79</v>
      </c>
      <c r="AJ2" s="34" t="s">
        <v>78</v>
      </c>
      <c r="AK2" s="34" t="s">
        <v>132</v>
      </c>
      <c r="AL2" s="34" t="s">
        <v>4</v>
      </c>
      <c r="AM2" s="34" t="s">
        <v>94</v>
      </c>
      <c r="AN2" s="145" t="s">
        <v>79</v>
      </c>
      <c r="AO2" s="145" t="s">
        <v>94</v>
      </c>
      <c r="AP2" s="155" t="s">
        <v>80</v>
      </c>
      <c r="AQ2" s="155" t="s">
        <v>79</v>
      </c>
      <c r="AR2" s="155" t="s">
        <v>114</v>
      </c>
      <c r="AS2" s="155" t="s">
        <v>22</v>
      </c>
      <c r="AT2" s="155" t="s">
        <v>78</v>
      </c>
      <c r="AU2" s="155" t="s">
        <v>104</v>
      </c>
      <c r="AV2" s="155" t="s">
        <v>4</v>
      </c>
      <c r="AW2" s="155" t="s">
        <v>94</v>
      </c>
    </row>
    <row r="3" spans="1:49" s="20" customFormat="1" ht="10.5" customHeight="1" x14ac:dyDescent="0.2">
      <c r="A3" s="24"/>
      <c r="B3" s="24"/>
      <c r="C3" s="473"/>
      <c r="D3" s="473"/>
      <c r="E3" s="473"/>
      <c r="F3" s="473"/>
      <c r="G3" s="473"/>
      <c r="H3" s="473"/>
      <c r="I3" s="474"/>
      <c r="J3" s="475" t="s">
        <v>185</v>
      </c>
      <c r="K3" s="473"/>
      <c r="L3" s="473"/>
      <c r="M3" s="473"/>
      <c r="N3" s="474"/>
      <c r="O3" s="475" t="s">
        <v>143</v>
      </c>
      <c r="P3" s="473"/>
      <c r="Q3" s="473"/>
      <c r="R3" s="473"/>
      <c r="S3" s="473"/>
      <c r="T3" s="473"/>
      <c r="U3" s="473"/>
      <c r="V3" s="473" t="s">
        <v>161</v>
      </c>
      <c r="W3" s="473"/>
      <c r="X3" s="473"/>
      <c r="Y3" s="473"/>
      <c r="Z3" s="473"/>
      <c r="AA3" s="473"/>
      <c r="AB3" s="474"/>
      <c r="AC3" s="164"/>
      <c r="AD3" s="165"/>
      <c r="AE3" s="165"/>
      <c r="AF3" s="165"/>
      <c r="AG3" s="166"/>
      <c r="AI3" s="167"/>
      <c r="AJ3" s="167"/>
      <c r="AK3" s="165" t="s">
        <v>186</v>
      </c>
      <c r="AL3" s="167"/>
      <c r="AM3" s="168"/>
      <c r="AN3" s="476" t="s">
        <v>63</v>
      </c>
      <c r="AO3" s="473"/>
      <c r="AP3" s="473" t="s">
        <v>183</v>
      </c>
      <c r="AQ3" s="473"/>
      <c r="AR3" s="473"/>
      <c r="AS3" s="473"/>
      <c r="AT3" s="473"/>
      <c r="AU3" s="473"/>
      <c r="AV3" s="473"/>
      <c r="AW3" s="474"/>
    </row>
    <row r="4" spans="1:49" s="20" customFormat="1" ht="10.5" x14ac:dyDescent="0.2">
      <c r="A4" s="21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  <c r="K4" s="21">
        <v>10</v>
      </c>
      <c r="L4" s="21">
        <v>11</v>
      </c>
      <c r="M4" s="21">
        <v>12</v>
      </c>
      <c r="N4" s="21">
        <v>13</v>
      </c>
      <c r="O4" s="21">
        <v>14</v>
      </c>
      <c r="P4" s="21">
        <v>15</v>
      </c>
      <c r="Q4" s="21">
        <v>16</v>
      </c>
      <c r="R4" s="21">
        <v>17</v>
      </c>
      <c r="S4" s="21">
        <v>18</v>
      </c>
      <c r="T4" s="21">
        <v>19</v>
      </c>
      <c r="U4" s="21">
        <v>20</v>
      </c>
      <c r="V4" s="21">
        <v>21</v>
      </c>
      <c r="W4" s="21">
        <v>22</v>
      </c>
      <c r="X4" s="21">
        <v>23</v>
      </c>
      <c r="Y4" s="21">
        <v>24</v>
      </c>
      <c r="Z4" s="21">
        <v>25</v>
      </c>
      <c r="AA4" s="21">
        <v>26</v>
      </c>
      <c r="AB4" s="21">
        <v>27</v>
      </c>
      <c r="AC4" s="21">
        <v>28</v>
      </c>
      <c r="AD4" s="21">
        <v>29</v>
      </c>
      <c r="AE4" s="21">
        <v>30</v>
      </c>
      <c r="AF4" s="21">
        <v>31</v>
      </c>
      <c r="AG4" s="21">
        <v>32</v>
      </c>
      <c r="AH4" s="21">
        <v>33</v>
      </c>
      <c r="AI4" s="21">
        <v>34</v>
      </c>
      <c r="AJ4" s="21">
        <v>35</v>
      </c>
      <c r="AK4" s="21">
        <v>36</v>
      </c>
      <c r="AL4" s="21">
        <v>37</v>
      </c>
      <c r="AM4" s="21">
        <v>38</v>
      </c>
      <c r="AN4" s="21">
        <v>39</v>
      </c>
      <c r="AO4" s="21">
        <v>40</v>
      </c>
      <c r="AP4" s="21">
        <v>41</v>
      </c>
      <c r="AQ4" s="21">
        <v>42</v>
      </c>
      <c r="AR4" s="21">
        <v>43</v>
      </c>
      <c r="AS4" s="21">
        <v>44</v>
      </c>
      <c r="AT4" s="21">
        <v>45</v>
      </c>
      <c r="AU4" s="21">
        <v>46</v>
      </c>
      <c r="AV4" s="21">
        <v>47</v>
      </c>
      <c r="AW4" s="21">
        <v>48</v>
      </c>
    </row>
    <row r="5" spans="1:49" s="158" customFormat="1" x14ac:dyDescent="0.2">
      <c r="A5" s="169">
        <v>1</v>
      </c>
      <c r="B5" s="170" t="s">
        <v>159</v>
      </c>
      <c r="C5" s="157"/>
      <c r="D5" s="157">
        <v>0.20722033349522423</v>
      </c>
      <c r="E5" s="157"/>
      <c r="F5" s="157">
        <v>0.28635167981886595</v>
      </c>
      <c r="G5" s="157">
        <v>0.13041210224308819</v>
      </c>
      <c r="H5" s="157">
        <v>4.6948356807511742E-2</v>
      </c>
      <c r="I5" s="157">
        <v>6.1032863849765265E-2</v>
      </c>
      <c r="J5" s="157"/>
      <c r="K5" s="157"/>
      <c r="L5" s="157"/>
      <c r="M5" s="157"/>
      <c r="N5" s="157"/>
      <c r="O5" s="157"/>
      <c r="P5" s="157"/>
      <c r="Q5" s="157"/>
      <c r="R5" s="157">
        <v>0.5302578378736662</v>
      </c>
      <c r="S5" s="157">
        <v>9.0861889927310494E-2</v>
      </c>
      <c r="T5" s="157">
        <v>5.6074766355140186E-2</v>
      </c>
      <c r="U5" s="157">
        <v>6.5420560747663559E-2</v>
      </c>
      <c r="V5" s="157">
        <v>0.13136288998357964</v>
      </c>
      <c r="W5" s="157"/>
      <c r="X5" s="157"/>
      <c r="Y5" s="157">
        <v>0.13136288998357964</v>
      </c>
      <c r="Z5" s="157">
        <v>0.13508949679162446</v>
      </c>
      <c r="AA5" s="157">
        <v>0.26455026455026454</v>
      </c>
      <c r="AB5" s="157">
        <v>4.7619047619047623E-2</v>
      </c>
      <c r="AC5" s="157">
        <v>0.40672273317676694</v>
      </c>
      <c r="AD5" s="157">
        <v>0.17963354756297156</v>
      </c>
      <c r="AE5" s="157">
        <v>3.7523452157598499E-3</v>
      </c>
      <c r="AF5" s="157">
        <v>0.10318949343339587</v>
      </c>
      <c r="AG5" s="157">
        <v>5.8161350844277676E-2</v>
      </c>
      <c r="AH5" s="157"/>
      <c r="AI5" s="157">
        <v>0.40634154973423947</v>
      </c>
      <c r="AJ5" s="157">
        <v>0.17946519372270631</v>
      </c>
      <c r="AK5" s="157">
        <v>4.6860356138706651E-3</v>
      </c>
      <c r="AL5" s="157">
        <v>0.10309278350515463</v>
      </c>
      <c r="AM5" s="157">
        <v>5.8106841611996245E-2</v>
      </c>
      <c r="AN5" s="157">
        <v>0.68896620620758564</v>
      </c>
      <c r="AO5" s="157">
        <v>1.477832512315271E-2</v>
      </c>
      <c r="AP5" s="157"/>
      <c r="AQ5" s="157"/>
      <c r="AR5" s="157">
        <v>0.20722033349522423</v>
      </c>
      <c r="AS5" s="157"/>
      <c r="AT5" s="157">
        <v>0.28635167981886595</v>
      </c>
      <c r="AU5" s="157">
        <v>0.13041210224308819</v>
      </c>
      <c r="AV5" s="157">
        <v>4.6948356807511742E-2</v>
      </c>
      <c r="AW5" s="157">
        <v>6.1032863849765265E-2</v>
      </c>
    </row>
    <row r="6" spans="1:49" s="158" customFormat="1" x14ac:dyDescent="0.2">
      <c r="A6" s="171">
        <v>2</v>
      </c>
      <c r="B6" s="156" t="s">
        <v>47</v>
      </c>
      <c r="C6" s="196">
        <v>0</v>
      </c>
      <c r="D6" s="196">
        <v>0.14893961469969244</v>
      </c>
      <c r="E6" s="196">
        <v>0</v>
      </c>
      <c r="F6" s="196">
        <v>0.30632970399227522</v>
      </c>
      <c r="G6" s="196">
        <v>0.16301512780386018</v>
      </c>
      <c r="H6" s="196">
        <v>5.6338028169014086E-2</v>
      </c>
      <c r="I6" s="196">
        <v>6.1032863849765265E-2</v>
      </c>
      <c r="J6" s="196">
        <v>0</v>
      </c>
      <c r="K6" s="196">
        <v>0</v>
      </c>
      <c r="L6" s="196">
        <v>0</v>
      </c>
      <c r="M6" s="196">
        <v>0</v>
      </c>
      <c r="N6" s="196">
        <v>0</v>
      </c>
      <c r="O6" s="196">
        <v>0</v>
      </c>
      <c r="P6" s="196">
        <v>0</v>
      </c>
      <c r="Q6" s="196">
        <v>0</v>
      </c>
      <c r="R6" s="196">
        <v>0.44409093921919535</v>
      </c>
      <c r="S6" s="196">
        <v>0.16225337487019728</v>
      </c>
      <c r="T6" s="196">
        <v>7.476635514018691E-2</v>
      </c>
      <c r="U6" s="196">
        <v>6.5420560747663559E-2</v>
      </c>
      <c r="V6" s="196">
        <v>9.8993565418247831E-2</v>
      </c>
      <c r="W6" s="196">
        <v>0</v>
      </c>
      <c r="X6" s="196">
        <v>0</v>
      </c>
      <c r="Y6" s="196">
        <v>0.12539184952978055</v>
      </c>
      <c r="Z6" s="196">
        <v>0.27825850894159965</v>
      </c>
      <c r="AA6" s="196">
        <v>0.16613503455608719</v>
      </c>
      <c r="AB6" s="196">
        <v>4.3062200956937802E-2</v>
      </c>
      <c r="AC6" s="196">
        <v>0.38012596588041758</v>
      </c>
      <c r="AD6" s="196">
        <v>0.199405770803007</v>
      </c>
      <c r="AE6" s="196">
        <v>3.748828491096532E-3</v>
      </c>
      <c r="AF6" s="196">
        <v>0.11246485473289596</v>
      </c>
      <c r="AG6" s="196">
        <v>5.9044048734770378E-2</v>
      </c>
      <c r="AH6" s="196">
        <v>0</v>
      </c>
      <c r="AI6" s="196">
        <v>0.3794147854016891</v>
      </c>
      <c r="AJ6" s="196">
        <v>0.19903270107278628</v>
      </c>
      <c r="AK6" s="196">
        <v>5.6127221702525739E-3</v>
      </c>
      <c r="AL6" s="196">
        <v>0.11225444340505146</v>
      </c>
      <c r="AM6" s="196">
        <v>5.8933582787652018E-2</v>
      </c>
      <c r="AN6" s="196">
        <v>0.68896620620758564</v>
      </c>
      <c r="AO6" s="196">
        <v>1.477832512315271E-2</v>
      </c>
      <c r="AP6" s="196">
        <v>0</v>
      </c>
      <c r="AQ6" s="196">
        <v>0.11162546373813979</v>
      </c>
      <c r="AR6" s="196">
        <v>0</v>
      </c>
      <c r="AS6" s="196">
        <v>0</v>
      </c>
      <c r="AT6" s="196">
        <v>0.34628575233909376</v>
      </c>
      <c r="AU6" s="196">
        <v>0.16301512780386018</v>
      </c>
      <c r="AV6" s="196">
        <v>5.6338028169014086E-2</v>
      </c>
      <c r="AW6" s="196">
        <v>6.1032863849765265E-2</v>
      </c>
    </row>
    <row r="7" spans="1:49" s="158" customFormat="1" x14ac:dyDescent="0.2">
      <c r="A7" s="171">
        <v>3</v>
      </c>
      <c r="B7" s="156" t="s">
        <v>87</v>
      </c>
      <c r="C7" s="196">
        <v>0</v>
      </c>
      <c r="D7" s="196">
        <v>0.16078204386134157</v>
      </c>
      <c r="E7" s="196">
        <v>0</v>
      </c>
      <c r="F7" s="196">
        <v>0.29967036260113872</v>
      </c>
      <c r="G7" s="196">
        <v>0.14302148431427417</v>
      </c>
      <c r="H7" s="196">
        <v>6.5727699530516437E-2</v>
      </c>
      <c r="I7" s="196">
        <v>6.1032863849765265E-2</v>
      </c>
      <c r="J7" s="196">
        <v>0</v>
      </c>
      <c r="K7" s="196">
        <v>0</v>
      </c>
      <c r="L7" s="196">
        <v>0</v>
      </c>
      <c r="M7" s="196">
        <v>0</v>
      </c>
      <c r="N7" s="196">
        <v>0</v>
      </c>
      <c r="O7" s="196">
        <v>0</v>
      </c>
      <c r="P7" s="196">
        <v>0</v>
      </c>
      <c r="Q7" s="196">
        <v>0</v>
      </c>
      <c r="R7" s="196">
        <v>0.43828193481552313</v>
      </c>
      <c r="S7" s="196">
        <v>0.15502145496936776</v>
      </c>
      <c r="T7" s="196">
        <v>8.4269662921348326E-2</v>
      </c>
      <c r="U7" s="196">
        <v>6.3670411985018729E-2</v>
      </c>
      <c r="V7" s="196">
        <v>0.1583897046691965</v>
      </c>
      <c r="W7" s="196">
        <v>0</v>
      </c>
      <c r="X7" s="196">
        <v>0</v>
      </c>
      <c r="Y7" s="196">
        <v>0.12453300124533001</v>
      </c>
      <c r="Z7" s="196">
        <v>0.21717737283246799</v>
      </c>
      <c r="AA7" s="196">
        <v>0.1584334104375931</v>
      </c>
      <c r="AB7" s="196">
        <v>4.3062200956937802E-2</v>
      </c>
      <c r="AC7" s="196">
        <v>0.3962881014497539</v>
      </c>
      <c r="AD7" s="196">
        <v>0.19221846622920394</v>
      </c>
      <c r="AE7" s="196">
        <v>3.7383177570093464E-3</v>
      </c>
      <c r="AF7" s="196">
        <v>0.10280373831775701</v>
      </c>
      <c r="AG7" s="196">
        <v>6.1682242990654203E-2</v>
      </c>
      <c r="AH7" s="196">
        <v>0</v>
      </c>
      <c r="AI7" s="196">
        <v>0.3962881014497539</v>
      </c>
      <c r="AJ7" s="196">
        <v>0.19221846622920394</v>
      </c>
      <c r="AK7" s="196">
        <v>5.6074766355140183E-3</v>
      </c>
      <c r="AL7" s="196">
        <v>0.10280373831775701</v>
      </c>
      <c r="AM7" s="196">
        <v>5.9813084112149542E-2</v>
      </c>
      <c r="AN7" s="196">
        <v>0.69971661477101765</v>
      </c>
      <c r="AO7" s="196">
        <v>9.9009900990099011E-3</v>
      </c>
      <c r="AP7" s="196">
        <v>0</v>
      </c>
      <c r="AQ7" s="196">
        <v>0.14598782328837573</v>
      </c>
      <c r="AR7" s="196">
        <v>0</v>
      </c>
      <c r="AS7" s="196">
        <v>0</v>
      </c>
      <c r="AT7" s="196">
        <v>0.30632970399227516</v>
      </c>
      <c r="AU7" s="196">
        <v>0.15545813512421106</v>
      </c>
      <c r="AV7" s="196">
        <v>6.5727699530516437E-2</v>
      </c>
      <c r="AW7" s="196">
        <v>6.1032863849765265E-2</v>
      </c>
    </row>
    <row r="8" spans="1:49" s="158" customFormat="1" x14ac:dyDescent="0.2">
      <c r="A8" s="171">
        <v>4</v>
      </c>
      <c r="B8" s="156" t="s">
        <v>48</v>
      </c>
      <c r="C8" s="157"/>
      <c r="D8" s="157">
        <v>0.20722033349522423</v>
      </c>
      <c r="E8" s="157"/>
      <c r="F8" s="157">
        <v>0.24438870666923918</v>
      </c>
      <c r="G8" s="157">
        <v>0.15860931353889099</v>
      </c>
      <c r="H8" s="157">
        <v>4.6948356807511742E-2</v>
      </c>
      <c r="I8" s="157">
        <v>6.1032863849765265E-2</v>
      </c>
      <c r="J8" s="157"/>
      <c r="K8" s="157"/>
      <c r="L8" s="157"/>
      <c r="M8" s="157"/>
      <c r="N8" s="157"/>
      <c r="O8" s="157">
        <v>9.6680631646793427E-2</v>
      </c>
      <c r="P8" s="157"/>
      <c r="Q8" s="157"/>
      <c r="R8" s="157">
        <v>0.44808603251824353</v>
      </c>
      <c r="S8" s="157">
        <v>6.3147259408941656E-2</v>
      </c>
      <c r="T8" s="157">
        <v>4.6728971962616828E-2</v>
      </c>
      <c r="U8" s="157">
        <v>6.5420560747663559E-2</v>
      </c>
      <c r="V8" s="157">
        <v>0.16385921216490792</v>
      </c>
      <c r="W8" s="157"/>
      <c r="X8" s="157"/>
      <c r="Y8" s="157">
        <v>0.13199142055766375</v>
      </c>
      <c r="Z8" s="157">
        <v>0.19663105459788952</v>
      </c>
      <c r="AA8" s="157">
        <v>0.16164489848700375</v>
      </c>
      <c r="AB8" s="157">
        <v>4.3062200956937802E-2</v>
      </c>
      <c r="AC8" s="157">
        <v>0.36773007322344436</v>
      </c>
      <c r="AD8" s="157">
        <v>0.21143816394787085</v>
      </c>
      <c r="AE8" s="157">
        <v>3.7418147801683817E-3</v>
      </c>
      <c r="AF8" s="157">
        <v>9.3545369504209538E-2</v>
      </c>
      <c r="AG8" s="157">
        <v>6.0804490177736197E-2</v>
      </c>
      <c r="AH8" s="157"/>
      <c r="AI8" s="157">
        <v>0.3670433690717666</v>
      </c>
      <c r="AJ8" s="157">
        <v>0.21104332143816432</v>
      </c>
      <c r="AK8" s="157">
        <v>5.6022408963585443E-3</v>
      </c>
      <c r="AL8" s="157">
        <v>9.3370681605975739E-2</v>
      </c>
      <c r="AM8" s="157">
        <v>6.0690943043884227E-2</v>
      </c>
      <c r="AN8" s="157">
        <v>0.67946322405299819</v>
      </c>
      <c r="AO8" s="157">
        <v>1.477832512315271E-2</v>
      </c>
      <c r="AP8" s="157"/>
      <c r="AQ8" s="157">
        <v>0.19426906265177274</v>
      </c>
      <c r="AR8" s="157"/>
      <c r="AS8" s="157"/>
      <c r="AT8" s="157">
        <v>0.25725127017814658</v>
      </c>
      <c r="AU8" s="157">
        <v>0.15860931353889099</v>
      </c>
      <c r="AV8" s="157">
        <v>4.6948356807511742E-2</v>
      </c>
      <c r="AW8" s="157">
        <v>6.1032863849765265E-2</v>
      </c>
    </row>
    <row r="9" spans="1:49" s="158" customFormat="1" x14ac:dyDescent="0.2">
      <c r="A9" s="171">
        <v>5</v>
      </c>
      <c r="B9" s="156" t="s">
        <v>154</v>
      </c>
      <c r="C9" s="157"/>
      <c r="D9" s="157">
        <v>0.20722033349522423</v>
      </c>
      <c r="E9" s="157"/>
      <c r="F9" s="157">
        <v>0.23926848510715351</v>
      </c>
      <c r="G9" s="157">
        <v>0.1614455185952948</v>
      </c>
      <c r="H9" s="157">
        <v>5.6338028169014086E-2</v>
      </c>
      <c r="I9" s="157">
        <v>6.1032863849765265E-2</v>
      </c>
      <c r="J9" s="157"/>
      <c r="K9" s="157"/>
      <c r="L9" s="157"/>
      <c r="M9" s="157"/>
      <c r="N9" s="157"/>
      <c r="O9" s="157"/>
      <c r="P9" s="157"/>
      <c r="Q9" s="157"/>
      <c r="R9" s="157">
        <v>0.46551372308948075</v>
      </c>
      <c r="S9" s="157">
        <v>0.1273625757807326</v>
      </c>
      <c r="T9" s="157">
        <v>6.4814814814814811E-2</v>
      </c>
      <c r="U9" s="157">
        <v>7.407407407407407E-2</v>
      </c>
      <c r="V9" s="157">
        <v>0.13199142055766375</v>
      </c>
      <c r="W9" s="157"/>
      <c r="X9" s="157"/>
      <c r="Y9" s="157">
        <v>0.16498927569707972</v>
      </c>
      <c r="Z9" s="157">
        <v>0.2174858634188778</v>
      </c>
      <c r="AA9" s="157">
        <v>0.14479113878230651</v>
      </c>
      <c r="AB9" s="157">
        <v>4.3062200956937802E-2</v>
      </c>
      <c r="AC9" s="157">
        <v>0.4523071990677151</v>
      </c>
      <c r="AD9" s="157">
        <v>0.12909189018927453</v>
      </c>
      <c r="AE9" s="157">
        <v>4.6860356138706651E-3</v>
      </c>
      <c r="AF9" s="157">
        <v>0.11246485473289596</v>
      </c>
      <c r="AG9" s="157">
        <v>5.8106841611996245E-2</v>
      </c>
      <c r="AH9" s="157"/>
      <c r="AI9" s="157">
        <v>0.4523071990677151</v>
      </c>
      <c r="AJ9" s="157">
        <v>0.12909189018927453</v>
      </c>
      <c r="AK9" s="157">
        <v>4.6860356138706651E-3</v>
      </c>
      <c r="AL9" s="157">
        <v>0.11246485473289596</v>
      </c>
      <c r="AM9" s="157">
        <v>5.8106841611996245E-2</v>
      </c>
      <c r="AN9" s="157">
        <v>0.69923468763438423</v>
      </c>
      <c r="AO9" s="157">
        <v>1.477832512315271E-2</v>
      </c>
      <c r="AP9" s="157"/>
      <c r="AQ9" s="157">
        <v>0.16926731907889256</v>
      </c>
      <c r="AR9" s="157"/>
      <c r="AS9" s="157"/>
      <c r="AT9" s="157">
        <v>0.29100221161680828</v>
      </c>
      <c r="AU9" s="157">
        <v>0.15886239029777011</v>
      </c>
      <c r="AV9" s="157">
        <v>4.6948356807511742E-2</v>
      </c>
      <c r="AW9" s="157">
        <v>6.1032863849765265E-2</v>
      </c>
    </row>
    <row r="10" spans="1:49" s="158" customFormat="1" x14ac:dyDescent="0.2">
      <c r="A10" s="171">
        <v>6</v>
      </c>
      <c r="B10" s="156" t="s">
        <v>44</v>
      </c>
      <c r="C10" s="157"/>
      <c r="D10" s="157">
        <v>0.1683665209648697</v>
      </c>
      <c r="E10" s="157"/>
      <c r="F10" s="157">
        <v>0.35960443512136653</v>
      </c>
      <c r="G10" s="157">
        <v>9.1288471570161719E-2</v>
      </c>
      <c r="H10" s="157">
        <v>5.6338028169014086E-2</v>
      </c>
      <c r="I10" s="157">
        <v>6.1032863849765265E-2</v>
      </c>
      <c r="J10" s="157"/>
      <c r="K10" s="157"/>
      <c r="L10" s="157"/>
      <c r="M10" s="157"/>
      <c r="N10" s="157"/>
      <c r="O10" s="157"/>
      <c r="P10" s="157">
        <v>0.26024723487312951</v>
      </c>
      <c r="Q10" s="157"/>
      <c r="R10" s="157">
        <v>0.29439314866854011</v>
      </c>
      <c r="S10" s="157">
        <v>6.5513626834381555E-2</v>
      </c>
      <c r="T10" s="157">
        <v>5.6603773584905669E-2</v>
      </c>
      <c r="U10" s="157">
        <v>5.6603773584905669E-2</v>
      </c>
      <c r="V10" s="157">
        <v>9.8993565418247831E-2</v>
      </c>
      <c r="W10" s="157"/>
      <c r="X10" s="157"/>
      <c r="Y10" s="157">
        <v>0.19138755980861241</v>
      </c>
      <c r="Z10" s="157">
        <v>0.13573585802029253</v>
      </c>
      <c r="AA10" s="157">
        <v>0.23923444976076555</v>
      </c>
      <c r="AB10" s="157">
        <v>4.3062200956937802E-2</v>
      </c>
      <c r="AC10" s="157">
        <v>0.39903968809487989</v>
      </c>
      <c r="AD10" s="157">
        <v>0.18576385433460052</v>
      </c>
      <c r="AE10" s="157">
        <v>3.7418147801683817E-3</v>
      </c>
      <c r="AF10" s="157">
        <v>0.1028999064546305</v>
      </c>
      <c r="AG10" s="157">
        <v>6.0804490177736197E-2</v>
      </c>
      <c r="AH10" s="157"/>
      <c r="AI10" s="157">
        <v>0.39829451594157483</v>
      </c>
      <c r="AJ10" s="157">
        <v>0.18541695638066105</v>
      </c>
      <c r="AK10" s="157">
        <v>5.6022408963585443E-3</v>
      </c>
      <c r="AL10" s="157">
        <v>0.10270774976657331</v>
      </c>
      <c r="AM10" s="157">
        <v>6.0690943043884227E-2</v>
      </c>
      <c r="AN10" s="157">
        <v>0.68896620620758564</v>
      </c>
      <c r="AO10" s="157">
        <v>1.477832512315271E-2</v>
      </c>
      <c r="AP10" s="157"/>
      <c r="AQ10" s="157"/>
      <c r="AR10" s="157">
        <v>0.1683665209648697</v>
      </c>
      <c r="AS10" s="157"/>
      <c r="AT10" s="157">
        <v>0.35960443512136653</v>
      </c>
      <c r="AU10" s="157">
        <v>9.1288471570161719E-2</v>
      </c>
      <c r="AV10" s="157">
        <v>5.6338028169014086E-2</v>
      </c>
      <c r="AW10" s="157">
        <v>6.1032863849765265E-2</v>
      </c>
    </row>
    <row r="11" spans="1:49" s="158" customFormat="1" x14ac:dyDescent="0.2">
      <c r="A11" s="171">
        <v>7</v>
      </c>
      <c r="B11" s="156" t="s">
        <v>40</v>
      </c>
      <c r="C11" s="157">
        <v>0.19992203040814088</v>
      </c>
      <c r="D11" s="157"/>
      <c r="E11" s="157"/>
      <c r="F11" s="157">
        <v>0.29100221161680828</v>
      </c>
      <c r="G11" s="157">
        <v>0.12915641487623586</v>
      </c>
      <c r="H11" s="157">
        <v>4.6948356807511742E-2</v>
      </c>
      <c r="I11" s="157">
        <v>6.1032863849765265E-2</v>
      </c>
      <c r="J11" s="157"/>
      <c r="K11" s="157"/>
      <c r="L11" s="157"/>
      <c r="M11" s="157"/>
      <c r="N11" s="157"/>
      <c r="O11" s="157">
        <v>9.9493907656387853E-2</v>
      </c>
      <c r="P11" s="157"/>
      <c r="Q11" s="157"/>
      <c r="R11" s="157">
        <v>0.3861898509307175</v>
      </c>
      <c r="S11" s="157">
        <v>0.12855288022728148</v>
      </c>
      <c r="T11" s="157">
        <v>4.6728971962616828E-2</v>
      </c>
      <c r="U11" s="157">
        <v>6.5420560747663559E-2</v>
      </c>
      <c r="V11" s="157">
        <v>0.1646741099364358</v>
      </c>
      <c r="W11" s="157"/>
      <c r="X11" s="157">
        <v>0.10167954268608884</v>
      </c>
      <c r="Y11" s="157"/>
      <c r="Z11" s="157">
        <v>0.2302262005309674</v>
      </c>
      <c r="AA11" s="157">
        <v>0.16422108625022824</v>
      </c>
      <c r="AB11" s="157">
        <v>4.4890162368672396E-2</v>
      </c>
      <c r="AC11" s="157">
        <v>0.41162618234641535</v>
      </c>
      <c r="AD11" s="157">
        <v>0.18039051970508729</v>
      </c>
      <c r="AE11" s="157">
        <v>3.7418147801683817E-3</v>
      </c>
      <c r="AF11" s="157">
        <v>9.3545369504209538E-2</v>
      </c>
      <c r="AG11" s="157">
        <v>6.0804490177736197E-2</v>
      </c>
      <c r="AH11" s="157"/>
      <c r="AI11" s="157">
        <v>0.39723313877736943</v>
      </c>
      <c r="AJ11" s="157">
        <v>0.19273467373874431</v>
      </c>
      <c r="AK11" s="157">
        <v>6.5298507462686565E-3</v>
      </c>
      <c r="AL11" s="157">
        <v>9.3283582089552244E-2</v>
      </c>
      <c r="AM11" s="157">
        <v>6.0634328358208964E-2</v>
      </c>
      <c r="AN11" s="157">
        <v>0.69923468763438423</v>
      </c>
      <c r="AO11" s="157">
        <v>1.477832512315271E-2</v>
      </c>
      <c r="AP11" s="157"/>
      <c r="AQ11" s="157"/>
      <c r="AR11" s="157"/>
      <c r="AS11" s="157"/>
      <c r="AT11" s="157">
        <v>0.53422929378749262</v>
      </c>
      <c r="AU11" s="157">
        <v>7.7131728136368871E-2</v>
      </c>
      <c r="AV11" s="157">
        <v>4.6728971962616828E-2</v>
      </c>
      <c r="AW11" s="157">
        <v>6.5420560747663559E-2</v>
      </c>
    </row>
    <row r="12" spans="1:49" s="158" customFormat="1" x14ac:dyDescent="0.2">
      <c r="A12" s="171">
        <v>8</v>
      </c>
      <c r="B12" s="156" t="s">
        <v>77</v>
      </c>
      <c r="C12" s="196">
        <v>0</v>
      </c>
      <c r="D12" s="196">
        <v>0.16270956992606478</v>
      </c>
      <c r="E12" s="196">
        <v>0</v>
      </c>
      <c r="F12" s="196">
        <v>0.43446687810721396</v>
      </c>
      <c r="G12" s="196">
        <v>0</v>
      </c>
      <c r="H12" s="196">
        <v>4.6860356138706649E-2</v>
      </c>
      <c r="I12" s="196">
        <v>6.2792877225866905E-2</v>
      </c>
      <c r="J12" s="196">
        <v>0</v>
      </c>
      <c r="K12" s="196">
        <v>0</v>
      </c>
      <c r="L12" s="196">
        <v>0</v>
      </c>
      <c r="M12" s="196">
        <v>0</v>
      </c>
      <c r="N12" s="196">
        <v>0</v>
      </c>
      <c r="O12" s="196">
        <v>0</v>
      </c>
      <c r="P12" s="196">
        <v>0</v>
      </c>
      <c r="Q12" s="196">
        <v>0</v>
      </c>
      <c r="R12" s="196">
        <v>0.58798044191372167</v>
      </c>
      <c r="S12" s="196">
        <v>0</v>
      </c>
      <c r="T12" s="196">
        <v>4.6728971962616828E-2</v>
      </c>
      <c r="U12" s="196">
        <v>6.5420560747663559E-2</v>
      </c>
      <c r="V12" s="196">
        <v>0</v>
      </c>
      <c r="W12" s="196">
        <v>0</v>
      </c>
      <c r="X12" s="196">
        <v>0</v>
      </c>
      <c r="Y12" s="196">
        <v>0.26556192904185261</v>
      </c>
      <c r="Z12" s="196">
        <v>0.37987666670887515</v>
      </c>
      <c r="AA12" s="196">
        <v>0</v>
      </c>
      <c r="AB12" s="196">
        <v>4.3977055449330782E-2</v>
      </c>
      <c r="AC12" s="196">
        <v>0.38086329012428166</v>
      </c>
      <c r="AD12" s="196">
        <v>0.20443690024098771</v>
      </c>
      <c r="AE12" s="196">
        <v>3.7418147801683817E-3</v>
      </c>
      <c r="AF12" s="196">
        <v>9.3545369504209538E-2</v>
      </c>
      <c r="AG12" s="196">
        <v>6.0804490177736197E-2</v>
      </c>
      <c r="AH12" s="196">
        <v>0</v>
      </c>
      <c r="AI12" s="196">
        <v>0.37979744136460564</v>
      </c>
      <c r="AJ12" s="196">
        <v>0.20386478205001488</v>
      </c>
      <c r="AK12" s="196">
        <v>6.5298507462686565E-3</v>
      </c>
      <c r="AL12" s="196">
        <v>9.3283582089552244E-2</v>
      </c>
      <c r="AM12" s="196">
        <v>6.0634328358208964E-2</v>
      </c>
      <c r="AN12" s="196">
        <v>0.70028011204481799</v>
      </c>
      <c r="AO12" s="196">
        <v>1.9607843137254902E-2</v>
      </c>
      <c r="AP12" s="196">
        <v>0</v>
      </c>
      <c r="AQ12" s="196">
        <v>0</v>
      </c>
      <c r="AR12" s="196">
        <v>0</v>
      </c>
      <c r="AS12" s="196">
        <v>0</v>
      </c>
      <c r="AT12" s="196">
        <v>0.58798044191372167</v>
      </c>
      <c r="AU12" s="196">
        <v>0</v>
      </c>
      <c r="AV12" s="196">
        <v>4.6728971962616828E-2</v>
      </c>
      <c r="AW12" s="196">
        <v>6.5420560747663559E-2</v>
      </c>
    </row>
    <row r="13" spans="1:49" s="158" customFormat="1" x14ac:dyDescent="0.2">
      <c r="A13" s="171">
        <v>9</v>
      </c>
      <c r="B13" s="156" t="s">
        <v>18</v>
      </c>
      <c r="C13" s="157"/>
      <c r="D13" s="157">
        <v>0.13637249172024157</v>
      </c>
      <c r="E13" s="157"/>
      <c r="F13" s="157">
        <v>0.44743625702875617</v>
      </c>
      <c r="G13" s="157">
        <v>4.5773174304247752E-2</v>
      </c>
      <c r="H13" s="157">
        <v>4.708097928436912E-2</v>
      </c>
      <c r="I13" s="157">
        <v>5.8380414312617708E-2</v>
      </c>
      <c r="J13" s="157"/>
      <c r="K13" s="157"/>
      <c r="L13" s="157"/>
      <c r="M13" s="157"/>
      <c r="N13" s="157"/>
      <c r="O13" s="157"/>
      <c r="P13" s="157">
        <v>6.4634973984422972E-2</v>
      </c>
      <c r="Q13" s="157"/>
      <c r="R13" s="157">
        <v>0.41210525965954781</v>
      </c>
      <c r="S13" s="157">
        <v>0.13667603873789441</v>
      </c>
      <c r="T13" s="157">
        <v>6.5604498594189306E-2</v>
      </c>
      <c r="U13" s="157">
        <v>6.2792877225866905E-2</v>
      </c>
      <c r="V13" s="157">
        <v>9.8616087571085753E-2</v>
      </c>
      <c r="W13" s="157"/>
      <c r="X13" s="157"/>
      <c r="Y13" s="157">
        <v>9.8616087571085753E-2</v>
      </c>
      <c r="Z13" s="157">
        <v>0.40565482830659394</v>
      </c>
      <c r="AA13" s="157">
        <v>6.6200614341701103E-2</v>
      </c>
      <c r="AB13" s="157">
        <v>4.6711153479504289E-2</v>
      </c>
      <c r="AC13" s="157">
        <v>0.39496585888338465</v>
      </c>
      <c r="AD13" s="157">
        <v>0.199405770803007</v>
      </c>
      <c r="AE13" s="157">
        <v>3.748828491096532E-3</v>
      </c>
      <c r="AF13" s="157">
        <v>0.10309278350515463</v>
      </c>
      <c r="AG13" s="157">
        <v>5.9044048734770378E-2</v>
      </c>
      <c r="AH13" s="157"/>
      <c r="AI13" s="157">
        <v>0.3674996659093947</v>
      </c>
      <c r="AJ13" s="157">
        <v>0.21893597118006491</v>
      </c>
      <c r="AK13" s="157">
        <v>5.6127221702525739E-3</v>
      </c>
      <c r="AL13" s="157">
        <v>0.11225444340505146</v>
      </c>
      <c r="AM13" s="157">
        <v>5.8933582787652018E-2</v>
      </c>
      <c r="AN13" s="157">
        <v>0.70721357850070721</v>
      </c>
      <c r="AO13" s="157">
        <v>9.9009900990099011E-3</v>
      </c>
      <c r="AP13" s="157"/>
      <c r="AQ13" s="157"/>
      <c r="AR13" s="157"/>
      <c r="AS13" s="157"/>
      <c r="AT13" s="157"/>
      <c r="AU13" s="157"/>
      <c r="AV13" s="157"/>
      <c r="AW13" s="157"/>
    </row>
    <row r="14" spans="1:49" s="158" customFormat="1" x14ac:dyDescent="0.2">
      <c r="A14" s="171">
        <v>10</v>
      </c>
      <c r="B14" s="156" t="s">
        <v>49</v>
      </c>
      <c r="C14" s="196">
        <v>0</v>
      </c>
      <c r="D14" s="196">
        <v>0.14893961469969244</v>
      </c>
      <c r="E14" s="196">
        <v>0</v>
      </c>
      <c r="F14" s="196">
        <v>0.30632970399227522</v>
      </c>
      <c r="G14" s="196">
        <v>0.16301512780386018</v>
      </c>
      <c r="H14" s="196">
        <v>5.6338028169014086E-2</v>
      </c>
      <c r="I14" s="196">
        <v>6.1032863849765265E-2</v>
      </c>
      <c r="J14" s="196">
        <v>0</v>
      </c>
      <c r="K14" s="196">
        <v>0</v>
      </c>
      <c r="L14" s="196">
        <v>0</v>
      </c>
      <c r="M14" s="196">
        <v>0</v>
      </c>
      <c r="N14" s="196">
        <v>0</v>
      </c>
      <c r="O14" s="196">
        <v>0</v>
      </c>
      <c r="P14" s="196">
        <v>0</v>
      </c>
      <c r="Q14" s="196">
        <v>0</v>
      </c>
      <c r="R14" s="196">
        <v>0.44409093921919535</v>
      </c>
      <c r="S14" s="196">
        <v>0.16225337487019728</v>
      </c>
      <c r="T14" s="196">
        <v>7.476635514018691E-2</v>
      </c>
      <c r="U14" s="196">
        <v>6.5420560747663559E-2</v>
      </c>
      <c r="V14" s="196">
        <v>9.8993565418247831E-2</v>
      </c>
      <c r="W14" s="196">
        <v>0</v>
      </c>
      <c r="X14" s="196">
        <v>0</v>
      </c>
      <c r="Y14" s="196">
        <v>0.12539184952978055</v>
      </c>
      <c r="Z14" s="196">
        <v>0.27825850894159965</v>
      </c>
      <c r="AA14" s="196">
        <v>0.16613503455608719</v>
      </c>
      <c r="AB14" s="196">
        <v>4.3062200956937802E-2</v>
      </c>
      <c r="AC14" s="196">
        <v>0.38012596588041758</v>
      </c>
      <c r="AD14" s="196">
        <v>0.199405770803007</v>
      </c>
      <c r="AE14" s="196">
        <v>3.748828491096532E-3</v>
      </c>
      <c r="AF14" s="196">
        <v>0.11246485473289596</v>
      </c>
      <c r="AG14" s="196">
        <v>5.9044048734770378E-2</v>
      </c>
      <c r="AH14" s="196">
        <v>0</v>
      </c>
      <c r="AI14" s="196">
        <v>0.3794147854016891</v>
      </c>
      <c r="AJ14" s="196">
        <v>0.19903270107278628</v>
      </c>
      <c r="AK14" s="196">
        <v>5.6127221702525739E-3</v>
      </c>
      <c r="AL14" s="196">
        <v>0.11225444340505146</v>
      </c>
      <c r="AM14" s="196">
        <v>5.8933582787652018E-2</v>
      </c>
      <c r="AN14" s="196">
        <v>0.68896620620758564</v>
      </c>
      <c r="AO14" s="196">
        <v>1.477832512315271E-2</v>
      </c>
      <c r="AP14" s="196">
        <v>0</v>
      </c>
      <c r="AQ14" s="196">
        <v>0.11162546373813979</v>
      </c>
      <c r="AR14" s="196">
        <v>0</v>
      </c>
      <c r="AS14" s="196">
        <v>0</v>
      </c>
      <c r="AT14" s="196">
        <v>0.34628575233909376</v>
      </c>
      <c r="AU14" s="196">
        <v>0.16301512780386018</v>
      </c>
      <c r="AV14" s="196">
        <v>5.6338028169014086E-2</v>
      </c>
      <c r="AW14" s="196">
        <v>6.1032863849765265E-2</v>
      </c>
    </row>
    <row r="15" spans="1:49" s="158" customFormat="1" x14ac:dyDescent="0.2">
      <c r="A15" s="171">
        <v>11</v>
      </c>
      <c r="B15" s="156" t="s">
        <v>158</v>
      </c>
      <c r="C15" s="157"/>
      <c r="D15" s="157">
        <v>0.14893961469969244</v>
      </c>
      <c r="E15" s="157"/>
      <c r="F15" s="157">
        <v>0.30632970399227522</v>
      </c>
      <c r="G15" s="157">
        <v>0.16301512780386018</v>
      </c>
      <c r="H15" s="157">
        <v>5.6338028169014086E-2</v>
      </c>
      <c r="I15" s="157">
        <v>6.1032863849765265E-2</v>
      </c>
      <c r="J15" s="157"/>
      <c r="K15" s="157"/>
      <c r="L15" s="157"/>
      <c r="M15" s="157"/>
      <c r="N15" s="157"/>
      <c r="O15" s="157"/>
      <c r="P15" s="157"/>
      <c r="Q15" s="157"/>
      <c r="R15" s="157">
        <v>0.44409093921919535</v>
      </c>
      <c r="S15" s="157">
        <v>0.16225337487019728</v>
      </c>
      <c r="T15" s="157">
        <v>7.476635514018691E-2</v>
      </c>
      <c r="U15" s="157">
        <v>6.5420560747663559E-2</v>
      </c>
      <c r="V15" s="157">
        <v>9.8993565418247831E-2</v>
      </c>
      <c r="W15" s="157"/>
      <c r="X15" s="157"/>
      <c r="Y15" s="157">
        <v>0.12539184952978055</v>
      </c>
      <c r="Z15" s="157">
        <v>0.27825850894159965</v>
      </c>
      <c r="AA15" s="157">
        <v>0.16613503455608719</v>
      </c>
      <c r="AB15" s="157">
        <v>4.3062200956937802E-2</v>
      </c>
      <c r="AC15" s="157">
        <v>0.38012596588041758</v>
      </c>
      <c r="AD15" s="157">
        <v>0.199405770803007</v>
      </c>
      <c r="AE15" s="157">
        <v>3.748828491096532E-3</v>
      </c>
      <c r="AF15" s="157">
        <v>0.11246485473289596</v>
      </c>
      <c r="AG15" s="157">
        <v>5.9044048734770378E-2</v>
      </c>
      <c r="AH15" s="157"/>
      <c r="AI15" s="157">
        <v>0.3794147854016891</v>
      </c>
      <c r="AJ15" s="157">
        <v>0.19903270107278628</v>
      </c>
      <c r="AK15" s="157">
        <v>5.6127221702525739E-3</v>
      </c>
      <c r="AL15" s="157">
        <v>0.11225444340505146</v>
      </c>
      <c r="AM15" s="157">
        <v>5.8933582787652018E-2</v>
      </c>
      <c r="AN15" s="157">
        <v>0.68896620620758564</v>
      </c>
      <c r="AO15" s="157">
        <v>1.477832512315271E-2</v>
      </c>
      <c r="AP15" s="157"/>
      <c r="AQ15" s="157">
        <v>0.11162546373813979</v>
      </c>
      <c r="AR15" s="157"/>
      <c r="AS15" s="157"/>
      <c r="AT15" s="157">
        <v>0.34628575233909376</v>
      </c>
      <c r="AU15" s="157">
        <v>0.16301512780386018</v>
      </c>
      <c r="AV15" s="157">
        <v>5.6338028169014086E-2</v>
      </c>
      <c r="AW15" s="157">
        <v>6.1032863849765265E-2</v>
      </c>
    </row>
    <row r="16" spans="1:49" s="158" customFormat="1" x14ac:dyDescent="0.2">
      <c r="A16" s="171">
        <v>12</v>
      </c>
      <c r="B16" s="156" t="s">
        <v>137</v>
      </c>
      <c r="C16" s="196">
        <v>0</v>
      </c>
      <c r="D16" s="196">
        <v>0.15968828846092428</v>
      </c>
      <c r="E16" s="196">
        <v>0</v>
      </c>
      <c r="F16" s="196">
        <v>0.30326888869448576</v>
      </c>
      <c r="G16" s="196">
        <v>0.10232334175996148</v>
      </c>
      <c r="H16" s="196">
        <v>5.6338028169014086E-2</v>
      </c>
      <c r="I16" s="196">
        <v>6.1032863849765265E-2</v>
      </c>
      <c r="J16" s="196">
        <v>0</v>
      </c>
      <c r="K16" s="196">
        <v>0</v>
      </c>
      <c r="L16" s="196">
        <v>0</v>
      </c>
      <c r="M16" s="196">
        <v>0</v>
      </c>
      <c r="N16" s="196">
        <v>0</v>
      </c>
      <c r="O16" s="196">
        <v>0</v>
      </c>
      <c r="P16" s="196">
        <v>7.6292199122639695E-2</v>
      </c>
      <c r="Q16" s="196">
        <v>0</v>
      </c>
      <c r="R16" s="196">
        <v>0.37731468044348981</v>
      </c>
      <c r="S16" s="196">
        <v>0.10184519530313924</v>
      </c>
      <c r="T16" s="196">
        <v>5.6074766355140186E-2</v>
      </c>
      <c r="U16" s="196">
        <v>6.5420560747663559E-2</v>
      </c>
      <c r="V16" s="196">
        <v>0.13199142055766375</v>
      </c>
      <c r="W16" s="196">
        <v>0</v>
      </c>
      <c r="X16" s="196">
        <v>0</v>
      </c>
      <c r="Y16" s="196">
        <v>0.19529342837613514</v>
      </c>
      <c r="Z16" s="196">
        <v>0.16642396505096732</v>
      </c>
      <c r="AA16" s="196">
        <v>0.1349527665317139</v>
      </c>
      <c r="AB16" s="196">
        <v>4.3062200956937802E-2</v>
      </c>
      <c r="AC16" s="196">
        <v>0.41427235066149942</v>
      </c>
      <c r="AD16" s="196">
        <v>0.1568773277399787</v>
      </c>
      <c r="AE16" s="196">
        <v>3.7418147801683817E-3</v>
      </c>
      <c r="AF16" s="196">
        <v>0.1028999064546305</v>
      </c>
      <c r="AG16" s="196">
        <v>6.0804490177736197E-2</v>
      </c>
      <c r="AH16" s="196">
        <v>0</v>
      </c>
      <c r="AI16" s="196">
        <v>0.40053404539385851</v>
      </c>
      <c r="AJ16" s="196">
        <v>0.17414523712776456</v>
      </c>
      <c r="AK16" s="196">
        <v>4.6728971962616819E-3</v>
      </c>
      <c r="AL16" s="196">
        <v>9.3457943925233655E-2</v>
      </c>
      <c r="AM16" s="196">
        <v>6.0747663551401869E-2</v>
      </c>
      <c r="AN16" s="196">
        <v>0.70372976776917673</v>
      </c>
      <c r="AO16" s="196">
        <v>1.477832512315271E-2</v>
      </c>
      <c r="AP16" s="196">
        <v>0</v>
      </c>
      <c r="AQ16" s="196">
        <v>0.13351134846461951</v>
      </c>
      <c r="AR16" s="196">
        <v>0</v>
      </c>
      <c r="AS16" s="196">
        <v>0</v>
      </c>
      <c r="AT16" s="196">
        <v>0.3715098392058977</v>
      </c>
      <c r="AU16" s="196">
        <v>5.9908938413611307E-2</v>
      </c>
      <c r="AV16" s="196">
        <v>5.6074766355140186E-2</v>
      </c>
      <c r="AW16" s="196">
        <v>6.5420560747663559E-2</v>
      </c>
    </row>
    <row r="17" spans="1:49" s="158" customFormat="1" x14ac:dyDescent="0.2">
      <c r="A17" s="171">
        <v>13</v>
      </c>
      <c r="B17" s="156" t="s">
        <v>70</v>
      </c>
      <c r="C17" s="196">
        <v>0</v>
      </c>
      <c r="D17" s="196">
        <v>0.25254978144730456</v>
      </c>
      <c r="E17" s="196">
        <v>0</v>
      </c>
      <c r="F17" s="196">
        <v>0.21340162185232608</v>
      </c>
      <c r="G17" s="196">
        <v>0.14852987710767124</v>
      </c>
      <c r="H17" s="196">
        <v>4.6948356807511742E-2</v>
      </c>
      <c r="I17" s="196">
        <v>6.1032863849765265E-2</v>
      </c>
      <c r="J17" s="196">
        <v>0</v>
      </c>
      <c r="K17" s="196">
        <v>0</v>
      </c>
      <c r="L17" s="196">
        <v>0</v>
      </c>
      <c r="M17" s="196">
        <v>0</v>
      </c>
      <c r="N17" s="196">
        <v>0</v>
      </c>
      <c r="O17" s="196">
        <v>0</v>
      </c>
      <c r="P17" s="196">
        <v>0.15468901063486948</v>
      </c>
      <c r="Q17" s="196">
        <v>0</v>
      </c>
      <c r="R17" s="196">
        <v>0.3733168558996936</v>
      </c>
      <c r="S17" s="196">
        <v>8.3559372147732958E-2</v>
      </c>
      <c r="T17" s="196">
        <v>4.6728971962616828E-2</v>
      </c>
      <c r="U17" s="196">
        <v>6.5420560747663559E-2</v>
      </c>
      <c r="V17" s="196">
        <v>0.13161358252171626</v>
      </c>
      <c r="W17" s="196">
        <v>0</v>
      </c>
      <c r="X17" s="196">
        <v>0</v>
      </c>
      <c r="Y17" s="196">
        <v>0.13161358252171626</v>
      </c>
      <c r="Z17" s="196">
        <v>0.26286459319075561</v>
      </c>
      <c r="AA17" s="196">
        <v>0.131251509392358</v>
      </c>
      <c r="AB17" s="196">
        <v>4.5801526717557252E-2</v>
      </c>
      <c r="AC17" s="196">
        <v>0.46487681324293828</v>
      </c>
      <c r="AD17" s="196">
        <v>0.11574877885038312</v>
      </c>
      <c r="AE17" s="196">
        <v>3.7348272642390287E-3</v>
      </c>
      <c r="AF17" s="196">
        <v>0.10270774976657329</v>
      </c>
      <c r="AG17" s="196">
        <v>6.2558356676003721E-2</v>
      </c>
      <c r="AH17" s="196">
        <v>0.19318072056408772</v>
      </c>
      <c r="AI17" s="196">
        <v>0.27169609267885064</v>
      </c>
      <c r="AJ17" s="196">
        <v>0.11574877885038314</v>
      </c>
      <c r="AK17" s="196">
        <v>4.6685340802987861E-3</v>
      </c>
      <c r="AL17" s="196">
        <v>0.10270774976657331</v>
      </c>
      <c r="AM17" s="196">
        <v>6.1624649859943981E-2</v>
      </c>
      <c r="AN17" s="196">
        <v>0.69648989985171728</v>
      </c>
      <c r="AO17" s="196">
        <v>1.4720314033366044E-2</v>
      </c>
      <c r="AP17" s="196">
        <v>0</v>
      </c>
      <c r="AQ17" s="196">
        <v>0</v>
      </c>
      <c r="AR17" s="196">
        <v>0.2525497814473045</v>
      </c>
      <c r="AS17" s="196">
        <v>0</v>
      </c>
      <c r="AT17" s="196">
        <v>0.21340162185232608</v>
      </c>
      <c r="AU17" s="196">
        <v>0.14852987710767124</v>
      </c>
      <c r="AV17" s="196">
        <v>4.6948356807511742E-2</v>
      </c>
      <c r="AW17" s="196">
        <v>6.1032863849765265E-2</v>
      </c>
    </row>
    <row r="18" spans="1:49" s="158" customFormat="1" x14ac:dyDescent="0.2">
      <c r="A18" s="171">
        <v>14</v>
      </c>
      <c r="B18" s="156" t="s">
        <v>7</v>
      </c>
      <c r="C18" s="157"/>
      <c r="D18" s="157">
        <v>0.18131779180832119</v>
      </c>
      <c r="E18" s="157"/>
      <c r="F18" s="157">
        <v>0.28743891922966375</v>
      </c>
      <c r="G18" s="157">
        <v>0.12862563508907329</v>
      </c>
      <c r="H18" s="157">
        <v>6.5727699530516437E-2</v>
      </c>
      <c r="I18" s="157">
        <v>6.1032863849765265E-2</v>
      </c>
      <c r="J18" s="157"/>
      <c r="K18" s="157"/>
      <c r="L18" s="157"/>
      <c r="M18" s="157"/>
      <c r="N18" s="157"/>
      <c r="O18" s="157"/>
      <c r="P18" s="157">
        <v>7.7344505317434739E-2</v>
      </c>
      <c r="Q18" s="157"/>
      <c r="R18" s="157">
        <v>0.46411087799605827</v>
      </c>
      <c r="S18" s="157">
        <v>6.4012290359749077E-2</v>
      </c>
      <c r="T18" s="157">
        <v>4.6728971962616828E-2</v>
      </c>
      <c r="U18" s="157">
        <v>6.5420560747663559E-2</v>
      </c>
      <c r="V18" s="157">
        <v>0.13199142055766375</v>
      </c>
      <c r="W18" s="157"/>
      <c r="X18" s="157"/>
      <c r="Y18" s="157">
        <v>0.24418412803167794</v>
      </c>
      <c r="Z18" s="157">
        <v>0.21482277121374865</v>
      </c>
      <c r="AA18" s="157">
        <v>6.5543684865963167E-2</v>
      </c>
      <c r="AB18" s="157">
        <v>4.3062200956937802E-2</v>
      </c>
      <c r="AC18" s="157">
        <v>0.44768141119871713</v>
      </c>
      <c r="AD18" s="157">
        <v>0.14636350330590608</v>
      </c>
      <c r="AE18" s="157">
        <v>3.7418147801683817E-3</v>
      </c>
      <c r="AF18" s="157">
        <v>9.3545369504209538E-2</v>
      </c>
      <c r="AG18" s="157">
        <v>6.0804490177736197E-2</v>
      </c>
      <c r="AH18" s="157"/>
      <c r="AI18" s="157">
        <v>0.44684540482859814</v>
      </c>
      <c r="AJ18" s="157">
        <v>0.14609018210458788</v>
      </c>
      <c r="AK18" s="157">
        <v>5.6022408963585443E-3</v>
      </c>
      <c r="AL18" s="157">
        <v>9.3370681605975739E-2</v>
      </c>
      <c r="AM18" s="157">
        <v>6.0690943043884227E-2</v>
      </c>
      <c r="AN18" s="157">
        <v>0.70372976776917673</v>
      </c>
      <c r="AO18" s="157">
        <v>1.477832512315271E-2</v>
      </c>
      <c r="AP18" s="157"/>
      <c r="AQ18" s="157"/>
      <c r="AR18" s="157"/>
      <c r="AS18" s="157"/>
      <c r="AT18" s="157"/>
      <c r="AU18" s="157"/>
      <c r="AV18" s="157"/>
      <c r="AW18" s="157"/>
    </row>
    <row r="19" spans="1:49" s="158" customFormat="1" x14ac:dyDescent="0.2">
      <c r="A19" s="171">
        <v>15</v>
      </c>
      <c r="B19" s="156" t="s">
        <v>32</v>
      </c>
      <c r="C19" s="157"/>
      <c r="D19" s="157">
        <v>0.15968828846092428</v>
      </c>
      <c r="E19" s="157"/>
      <c r="F19" s="157">
        <v>0.30326888869448576</v>
      </c>
      <c r="G19" s="157">
        <v>0.10232334175996148</v>
      </c>
      <c r="H19" s="157">
        <v>5.6338028169014086E-2</v>
      </c>
      <c r="I19" s="157">
        <v>6.1032863849765265E-2</v>
      </c>
      <c r="J19" s="157"/>
      <c r="K19" s="157"/>
      <c r="L19" s="157"/>
      <c r="M19" s="157"/>
      <c r="N19" s="157"/>
      <c r="O19" s="157"/>
      <c r="P19" s="157">
        <v>7.6292199122639695E-2</v>
      </c>
      <c r="Q19" s="157"/>
      <c r="R19" s="157">
        <v>0.37731468044348981</v>
      </c>
      <c r="S19" s="157">
        <v>0.10184519530313924</v>
      </c>
      <c r="T19" s="157">
        <v>5.6074766355140186E-2</v>
      </c>
      <c r="U19" s="157">
        <v>6.5420560747663559E-2</v>
      </c>
      <c r="V19" s="157">
        <v>0.13199142055766375</v>
      </c>
      <c r="W19" s="157"/>
      <c r="X19" s="157"/>
      <c r="Y19" s="157">
        <v>0.19529342837613514</v>
      </c>
      <c r="Z19" s="157">
        <v>0.16642396505096732</v>
      </c>
      <c r="AA19" s="157">
        <v>0.1349527665317139</v>
      </c>
      <c r="AB19" s="157">
        <v>4.3062200956937802E-2</v>
      </c>
      <c r="AC19" s="157">
        <v>0.41427235066149942</v>
      </c>
      <c r="AD19" s="157">
        <v>0.1568773277399787</v>
      </c>
      <c r="AE19" s="157">
        <v>3.7418147801683817E-3</v>
      </c>
      <c r="AF19" s="157">
        <v>0.1028999064546305</v>
      </c>
      <c r="AG19" s="157">
        <v>6.0804490177736197E-2</v>
      </c>
      <c r="AH19" s="157"/>
      <c r="AI19" s="157">
        <v>0.40053404539385851</v>
      </c>
      <c r="AJ19" s="157">
        <v>0.17414523712776456</v>
      </c>
      <c r="AK19" s="157">
        <v>4.6728971962616819E-3</v>
      </c>
      <c r="AL19" s="157">
        <v>9.3457943925233655E-2</v>
      </c>
      <c r="AM19" s="157">
        <v>6.0747663551401869E-2</v>
      </c>
      <c r="AN19" s="157">
        <v>0.70372976776917673</v>
      </c>
      <c r="AO19" s="157">
        <v>1.477832512315271E-2</v>
      </c>
      <c r="AP19" s="157"/>
      <c r="AQ19" s="157">
        <v>0.13351134846461951</v>
      </c>
      <c r="AR19" s="157"/>
      <c r="AS19" s="157"/>
      <c r="AT19" s="157">
        <v>0.3715098392058977</v>
      </c>
      <c r="AU19" s="157">
        <v>5.9908938413611307E-2</v>
      </c>
      <c r="AV19" s="157">
        <v>5.6074766355140186E-2</v>
      </c>
      <c r="AW19" s="157">
        <v>6.5420560747663559E-2</v>
      </c>
    </row>
    <row r="20" spans="1:49" s="158" customFormat="1" x14ac:dyDescent="0.2">
      <c r="A20" s="171">
        <v>16</v>
      </c>
      <c r="B20" s="156" t="s">
        <v>54</v>
      </c>
      <c r="C20" s="196">
        <v>0</v>
      </c>
      <c r="D20" s="196">
        <v>0.14893961469969244</v>
      </c>
      <c r="E20" s="196">
        <v>0</v>
      </c>
      <c r="F20" s="196">
        <v>0.30632970399227522</v>
      </c>
      <c r="G20" s="196">
        <v>0.16301512780386018</v>
      </c>
      <c r="H20" s="196">
        <v>5.6338028169014086E-2</v>
      </c>
      <c r="I20" s="196">
        <v>6.1032863849765265E-2</v>
      </c>
      <c r="J20" s="196">
        <v>0</v>
      </c>
      <c r="K20" s="196">
        <v>0</v>
      </c>
      <c r="L20" s="196">
        <v>0</v>
      </c>
      <c r="M20" s="196">
        <v>0</v>
      </c>
      <c r="N20" s="196">
        <v>0</v>
      </c>
      <c r="O20" s="196">
        <v>0</v>
      </c>
      <c r="P20" s="196">
        <v>0</v>
      </c>
      <c r="Q20" s="196">
        <v>0</v>
      </c>
      <c r="R20" s="196">
        <v>0.44409093921919535</v>
      </c>
      <c r="S20" s="196">
        <v>0.16225337487019728</v>
      </c>
      <c r="T20" s="196">
        <v>7.476635514018691E-2</v>
      </c>
      <c r="U20" s="196">
        <v>6.5420560747663559E-2</v>
      </c>
      <c r="V20" s="196">
        <v>9.8993565418247831E-2</v>
      </c>
      <c r="W20" s="196">
        <v>0</v>
      </c>
      <c r="X20" s="196">
        <v>0</v>
      </c>
      <c r="Y20" s="196">
        <v>0.12539184952978055</v>
      </c>
      <c r="Z20" s="196">
        <v>0.27825850894159965</v>
      </c>
      <c r="AA20" s="196">
        <v>0.16613503455608719</v>
      </c>
      <c r="AB20" s="196">
        <v>4.3062200956937802E-2</v>
      </c>
      <c r="AC20" s="196">
        <v>0.38012596588041758</v>
      </c>
      <c r="AD20" s="196">
        <v>0.199405770803007</v>
      </c>
      <c r="AE20" s="196">
        <v>3.748828491096532E-3</v>
      </c>
      <c r="AF20" s="196">
        <v>0.11246485473289596</v>
      </c>
      <c r="AG20" s="196">
        <v>5.9044048734770378E-2</v>
      </c>
      <c r="AH20" s="196">
        <v>0</v>
      </c>
      <c r="AI20" s="196">
        <v>0.3794147854016891</v>
      </c>
      <c r="AJ20" s="196">
        <v>0.19903270107278628</v>
      </c>
      <c r="AK20" s="196">
        <v>5.6127221702525739E-3</v>
      </c>
      <c r="AL20" s="196">
        <v>0.11225444340505146</v>
      </c>
      <c r="AM20" s="196">
        <v>5.8933582787652018E-2</v>
      </c>
      <c r="AN20" s="196">
        <v>0.68896620620758564</v>
      </c>
      <c r="AO20" s="196">
        <v>1.477832512315271E-2</v>
      </c>
      <c r="AP20" s="196">
        <v>0</v>
      </c>
      <c r="AQ20" s="196">
        <v>0.11162546373813979</v>
      </c>
      <c r="AR20" s="196">
        <v>0</v>
      </c>
      <c r="AS20" s="196">
        <v>0</v>
      </c>
      <c r="AT20" s="196">
        <v>0.34628575233909376</v>
      </c>
      <c r="AU20" s="196">
        <v>0.16301512780386018</v>
      </c>
      <c r="AV20" s="196">
        <v>5.6338028169014086E-2</v>
      </c>
      <c r="AW20" s="196">
        <v>6.1032863849765265E-2</v>
      </c>
    </row>
    <row r="21" spans="1:49" s="158" customFormat="1" x14ac:dyDescent="0.2">
      <c r="A21" s="171">
        <v>17</v>
      </c>
      <c r="B21" s="156" t="s">
        <v>88</v>
      </c>
      <c r="C21" s="157"/>
      <c r="D21" s="157">
        <v>0.19991745343858022</v>
      </c>
      <c r="E21" s="157"/>
      <c r="F21" s="157">
        <v>0.25220191673456721</v>
      </c>
      <c r="G21" s="157">
        <v>0.15498769785148303</v>
      </c>
      <c r="H21" s="157">
        <v>5.6338028169014086E-2</v>
      </c>
      <c r="I21" s="157">
        <v>6.1032863849765265E-2</v>
      </c>
      <c r="J21" s="157"/>
      <c r="K21" s="157"/>
      <c r="L21" s="157"/>
      <c r="M21" s="157"/>
      <c r="N21" s="157"/>
      <c r="O21" s="157">
        <v>0.13290696778069289</v>
      </c>
      <c r="P21" s="157"/>
      <c r="Q21" s="157"/>
      <c r="R21" s="157">
        <v>0.30953044231900206</v>
      </c>
      <c r="S21" s="157">
        <v>0.16099201994755524</v>
      </c>
      <c r="T21" s="157">
        <v>6.5543071161048683E-2</v>
      </c>
      <c r="U21" s="157">
        <v>6.3670411985018729E-2</v>
      </c>
      <c r="V21" s="157">
        <v>0.10559313644613101</v>
      </c>
      <c r="W21" s="157"/>
      <c r="X21" s="157"/>
      <c r="Y21" s="157">
        <v>0.157736999842263</v>
      </c>
      <c r="Z21" s="157">
        <v>0.25043826696719257</v>
      </c>
      <c r="AA21" s="157">
        <v>0.14479113878230651</v>
      </c>
      <c r="AB21" s="157">
        <v>4.3062200956937802E-2</v>
      </c>
      <c r="AC21" s="157">
        <v>0.43941586983703002</v>
      </c>
      <c r="AD21" s="157">
        <v>0.15505558742809297</v>
      </c>
      <c r="AE21" s="157">
        <v>3.7523452157598499E-3</v>
      </c>
      <c r="AF21" s="157">
        <v>9.3808630393996256E-2</v>
      </c>
      <c r="AG21" s="157">
        <v>5.8161350844277676E-2</v>
      </c>
      <c r="AH21" s="157"/>
      <c r="AI21" s="157">
        <v>0.43859299367628651</v>
      </c>
      <c r="AJ21" s="157">
        <v>0.15476522115950103</v>
      </c>
      <c r="AK21" s="157">
        <v>5.6179775280898884E-3</v>
      </c>
      <c r="AL21" s="157">
        <v>9.3632958801498134E-2</v>
      </c>
      <c r="AM21" s="157">
        <v>5.8052434456928842E-2</v>
      </c>
      <c r="AN21" s="157">
        <v>0.69923468763438423</v>
      </c>
      <c r="AO21" s="157">
        <v>1.477832512315271E-2</v>
      </c>
      <c r="AP21" s="157"/>
      <c r="AQ21" s="157">
        <v>0.19992203040814088</v>
      </c>
      <c r="AR21" s="157"/>
      <c r="AS21" s="157"/>
      <c r="AT21" s="157">
        <v>0.25220191673456721</v>
      </c>
      <c r="AU21" s="157">
        <v>0.1614455185952948</v>
      </c>
      <c r="AV21" s="157">
        <v>5.6338028169014086E-2</v>
      </c>
      <c r="AW21" s="157">
        <v>6.1032863849765265E-2</v>
      </c>
    </row>
    <row r="22" spans="1:49" s="158" customFormat="1" x14ac:dyDescent="0.2">
      <c r="A22" s="171">
        <v>18</v>
      </c>
      <c r="B22" s="156" t="s">
        <v>165</v>
      </c>
      <c r="C22" s="196">
        <v>0</v>
      </c>
      <c r="D22" s="196">
        <v>0.15968828846092428</v>
      </c>
      <c r="E22" s="196">
        <v>0</v>
      </c>
      <c r="F22" s="196">
        <v>0.30326888869448576</v>
      </c>
      <c r="G22" s="196">
        <v>0.10232334175996148</v>
      </c>
      <c r="H22" s="196">
        <v>5.6338028169014086E-2</v>
      </c>
      <c r="I22" s="196">
        <v>6.1032863849765265E-2</v>
      </c>
      <c r="J22" s="196">
        <v>0</v>
      </c>
      <c r="K22" s="196">
        <v>0</v>
      </c>
      <c r="L22" s="196">
        <v>0</v>
      </c>
      <c r="M22" s="196">
        <v>0</v>
      </c>
      <c r="N22" s="196">
        <v>0</v>
      </c>
      <c r="O22" s="196">
        <v>0</v>
      </c>
      <c r="P22" s="196">
        <v>7.6292199122639695E-2</v>
      </c>
      <c r="Q22" s="196">
        <v>0</v>
      </c>
      <c r="R22" s="196">
        <v>0.37731468044348981</v>
      </c>
      <c r="S22" s="196">
        <v>0.10184519530313924</v>
      </c>
      <c r="T22" s="196">
        <v>5.6074766355140186E-2</v>
      </c>
      <c r="U22" s="196">
        <v>6.5420560747663559E-2</v>
      </c>
      <c r="V22" s="196">
        <v>0.13199142055766375</v>
      </c>
      <c r="W22" s="196">
        <v>0</v>
      </c>
      <c r="X22" s="196">
        <v>0</v>
      </c>
      <c r="Y22" s="196">
        <v>0.19529342837613514</v>
      </c>
      <c r="Z22" s="196">
        <v>0.16642396505096732</v>
      </c>
      <c r="AA22" s="196">
        <v>0.1349527665317139</v>
      </c>
      <c r="AB22" s="196">
        <v>4.3062200956937802E-2</v>
      </c>
      <c r="AC22" s="196">
        <v>0.41427235066149942</v>
      </c>
      <c r="AD22" s="196">
        <v>0.1568773277399787</v>
      </c>
      <c r="AE22" s="196">
        <v>3.7418147801683817E-3</v>
      </c>
      <c r="AF22" s="196">
        <v>0.1028999064546305</v>
      </c>
      <c r="AG22" s="196">
        <v>6.0804490177736197E-2</v>
      </c>
      <c r="AH22" s="196">
        <v>0</v>
      </c>
      <c r="AI22" s="196">
        <v>0.40053404539385851</v>
      </c>
      <c r="AJ22" s="196">
        <v>0.17414523712776456</v>
      </c>
      <c r="AK22" s="196">
        <v>4.6728971962616819E-3</v>
      </c>
      <c r="AL22" s="196">
        <v>9.3457943925233655E-2</v>
      </c>
      <c r="AM22" s="196">
        <v>6.0747663551401869E-2</v>
      </c>
      <c r="AN22" s="196">
        <v>0.70372976776917673</v>
      </c>
      <c r="AO22" s="196">
        <v>1.477832512315271E-2</v>
      </c>
      <c r="AP22" s="196">
        <v>0</v>
      </c>
      <c r="AQ22" s="196">
        <v>0.13351134846461951</v>
      </c>
      <c r="AR22" s="196">
        <v>0</v>
      </c>
      <c r="AS22" s="196">
        <v>0</v>
      </c>
      <c r="AT22" s="196">
        <v>0.3715098392058977</v>
      </c>
      <c r="AU22" s="196">
        <v>5.9908938413611307E-2</v>
      </c>
      <c r="AV22" s="196">
        <v>5.6074766355140186E-2</v>
      </c>
      <c r="AW22" s="196">
        <v>6.5420560747663559E-2</v>
      </c>
    </row>
    <row r="23" spans="1:49" s="158" customFormat="1" x14ac:dyDescent="0.2">
      <c r="A23" s="171">
        <v>19</v>
      </c>
      <c r="B23" s="156" t="s">
        <v>125</v>
      </c>
      <c r="C23" s="196">
        <v>0</v>
      </c>
      <c r="D23" s="196">
        <v>0.25254978144730456</v>
      </c>
      <c r="E23" s="196">
        <v>0</v>
      </c>
      <c r="F23" s="196">
        <v>0.21340162185232608</v>
      </c>
      <c r="G23" s="196">
        <v>0.14852987710767124</v>
      </c>
      <c r="H23" s="196">
        <v>4.6948356807511742E-2</v>
      </c>
      <c r="I23" s="196">
        <v>6.1032863849765265E-2</v>
      </c>
      <c r="J23" s="196">
        <v>0</v>
      </c>
      <c r="K23" s="196">
        <v>0</v>
      </c>
      <c r="L23" s="196">
        <v>0</v>
      </c>
      <c r="M23" s="196">
        <v>0</v>
      </c>
      <c r="N23" s="196">
        <v>0</v>
      </c>
      <c r="O23" s="196">
        <v>0</v>
      </c>
      <c r="P23" s="196">
        <v>0.15468901063486948</v>
      </c>
      <c r="Q23" s="196">
        <v>0</v>
      </c>
      <c r="R23" s="196">
        <v>0.3733168558996936</v>
      </c>
      <c r="S23" s="196">
        <v>8.3559372147732958E-2</v>
      </c>
      <c r="T23" s="196">
        <v>4.6728971962616828E-2</v>
      </c>
      <c r="U23" s="196">
        <v>6.5420560747663559E-2</v>
      </c>
      <c r="V23" s="196">
        <v>0.13161358252171626</v>
      </c>
      <c r="W23" s="196">
        <v>0</v>
      </c>
      <c r="X23" s="196">
        <v>0</v>
      </c>
      <c r="Y23" s="196">
        <v>0.13161358252171626</v>
      </c>
      <c r="Z23" s="196">
        <v>0.26286459319075561</v>
      </c>
      <c r="AA23" s="196">
        <v>0.131251509392358</v>
      </c>
      <c r="AB23" s="196">
        <v>4.5801526717557252E-2</v>
      </c>
      <c r="AC23" s="196">
        <v>0.46487681324293828</v>
      </c>
      <c r="AD23" s="196">
        <v>0.11574877885038312</v>
      </c>
      <c r="AE23" s="196">
        <v>3.7348272642390287E-3</v>
      </c>
      <c r="AF23" s="196">
        <v>0.10270774976657329</v>
      </c>
      <c r="AG23" s="196">
        <v>6.2558356676003721E-2</v>
      </c>
      <c r="AH23" s="196">
        <v>0.19318072056408772</v>
      </c>
      <c r="AI23" s="196">
        <v>0.27169609267885064</v>
      </c>
      <c r="AJ23" s="196">
        <v>0.11574877885038314</v>
      </c>
      <c r="AK23" s="196">
        <v>4.6685340802987861E-3</v>
      </c>
      <c r="AL23" s="196">
        <v>0.10270774976657331</v>
      </c>
      <c r="AM23" s="196">
        <v>6.1624649859943981E-2</v>
      </c>
      <c r="AN23" s="196">
        <v>0.69648989985171728</v>
      </c>
      <c r="AO23" s="196">
        <v>1.4720314033366044E-2</v>
      </c>
      <c r="AP23" s="196">
        <v>0</v>
      </c>
      <c r="AQ23" s="196">
        <v>0</v>
      </c>
      <c r="AR23" s="196">
        <v>0.2525497814473045</v>
      </c>
      <c r="AS23" s="196">
        <v>0</v>
      </c>
      <c r="AT23" s="196">
        <v>0.21340162185232608</v>
      </c>
      <c r="AU23" s="196">
        <v>0.14852987710767124</v>
      </c>
      <c r="AV23" s="196">
        <v>4.6948356807511742E-2</v>
      </c>
      <c r="AW23" s="196">
        <v>6.1032863849765265E-2</v>
      </c>
    </row>
    <row r="24" spans="1:49" s="158" customFormat="1" x14ac:dyDescent="0.2">
      <c r="A24" s="171">
        <v>20</v>
      </c>
      <c r="B24" s="156" t="s">
        <v>55</v>
      </c>
      <c r="C24" s="157"/>
      <c r="D24" s="157">
        <v>0.20722033349522423</v>
      </c>
      <c r="E24" s="157"/>
      <c r="F24" s="157">
        <v>0.23633866692216796</v>
      </c>
      <c r="G24" s="157">
        <v>0.16078204386134157</v>
      </c>
      <c r="H24" s="157">
        <v>5.6338028169014086E-2</v>
      </c>
      <c r="I24" s="157">
        <v>6.1032863849765265E-2</v>
      </c>
      <c r="J24" s="157"/>
      <c r="K24" s="157"/>
      <c r="L24" s="157"/>
      <c r="M24" s="157"/>
      <c r="N24" s="157"/>
      <c r="O24" s="157"/>
      <c r="P24" s="157"/>
      <c r="Q24" s="157"/>
      <c r="R24" s="157">
        <v>0.45981355505165034</v>
      </c>
      <c r="S24" s="157">
        <v>0.12683916793505837</v>
      </c>
      <c r="T24" s="157">
        <v>6.4814814814814811E-2</v>
      </c>
      <c r="U24" s="157">
        <v>7.407407407407407E-2</v>
      </c>
      <c r="V24" s="157">
        <v>0.13199142055766375</v>
      </c>
      <c r="W24" s="157"/>
      <c r="X24" s="157"/>
      <c r="Y24" s="157">
        <v>0.16498927569707972</v>
      </c>
      <c r="Z24" s="157">
        <v>0.21482277121374865</v>
      </c>
      <c r="AA24" s="157">
        <v>0.14419610670511898</v>
      </c>
      <c r="AB24" s="157">
        <v>4.3062200956937802E-2</v>
      </c>
      <c r="AC24" s="157">
        <v>0.45564191905655327</v>
      </c>
      <c r="AD24" s="157">
        <v>0.12763078965169558</v>
      </c>
      <c r="AE24" s="157">
        <v>3.7523452157598499E-3</v>
      </c>
      <c r="AF24" s="157">
        <v>0.11257035647279549</v>
      </c>
      <c r="AG24" s="157">
        <v>5.8161350844277676E-2</v>
      </c>
      <c r="AH24" s="157"/>
      <c r="AI24" s="157">
        <v>0.45521488820457895</v>
      </c>
      <c r="AJ24" s="157">
        <v>0.1275111731665487</v>
      </c>
      <c r="AK24" s="157">
        <v>4.6860356138706651E-3</v>
      </c>
      <c r="AL24" s="157">
        <v>0.11246485473289596</v>
      </c>
      <c r="AM24" s="157">
        <v>5.8106841611996245E-2</v>
      </c>
      <c r="AN24" s="157">
        <v>0.70372976776917673</v>
      </c>
      <c r="AO24" s="157">
        <v>1.477832512315271E-2</v>
      </c>
      <c r="AP24" s="157"/>
      <c r="AQ24" s="157">
        <v>0.17035546613011401</v>
      </c>
      <c r="AR24" s="157"/>
      <c r="AS24" s="157"/>
      <c r="AT24" s="157">
        <v>0.28743891922966375</v>
      </c>
      <c r="AU24" s="157">
        <v>0.1582095311595601</v>
      </c>
      <c r="AV24" s="157">
        <v>4.6948356807511742E-2</v>
      </c>
      <c r="AW24" s="157">
        <v>6.1032863849765265E-2</v>
      </c>
    </row>
    <row r="25" spans="1:49" s="158" customFormat="1" x14ac:dyDescent="0.2">
      <c r="A25" s="171">
        <v>21</v>
      </c>
      <c r="B25" s="156" t="s">
        <v>42</v>
      </c>
      <c r="C25" s="157"/>
      <c r="D25" s="157">
        <v>0.14246397927796664</v>
      </c>
      <c r="E25" s="157"/>
      <c r="F25" s="157">
        <v>0.47947258016182209</v>
      </c>
      <c r="G25" s="157"/>
      <c r="H25" s="157">
        <v>5.6338028169014086E-2</v>
      </c>
      <c r="I25" s="157">
        <v>6.1032863849765265E-2</v>
      </c>
      <c r="J25" s="157"/>
      <c r="K25" s="157"/>
      <c r="L25" s="157"/>
      <c r="M25" s="157"/>
      <c r="N25" s="157"/>
      <c r="O25" s="157"/>
      <c r="P25" s="157"/>
      <c r="Q25" s="157"/>
      <c r="R25" s="157">
        <v>0.49711672300656196</v>
      </c>
      <c r="S25" s="157">
        <v>0.12980269989615786</v>
      </c>
      <c r="T25" s="157">
        <v>4.6728971962616828E-2</v>
      </c>
      <c r="U25" s="157">
        <v>6.5420560747663559E-2</v>
      </c>
      <c r="V25" s="157">
        <v>0.13199142055766375</v>
      </c>
      <c r="W25" s="157"/>
      <c r="X25" s="157"/>
      <c r="Y25" s="157">
        <v>0.16498927569707972</v>
      </c>
      <c r="Z25" s="157">
        <v>0.2036037870304388</v>
      </c>
      <c r="AA25" s="157">
        <v>0.16613503455608719</v>
      </c>
      <c r="AB25" s="157">
        <v>4.3062200956937802E-2</v>
      </c>
      <c r="AC25" s="157">
        <v>0.41984282134375944</v>
      </c>
      <c r="AD25" s="157">
        <v>0.17298045320878741</v>
      </c>
      <c r="AE25" s="157">
        <v>3.7523452157598499E-3</v>
      </c>
      <c r="AF25" s="157">
        <v>9.3808630393996256E-2</v>
      </c>
      <c r="AG25" s="157">
        <v>5.8161350844277676E-2</v>
      </c>
      <c r="AH25" s="157"/>
      <c r="AI25" s="157">
        <v>0.41905659883187979</v>
      </c>
      <c r="AJ25" s="157">
        <v>0.17265651977581217</v>
      </c>
      <c r="AK25" s="157">
        <v>5.6179775280898884E-3</v>
      </c>
      <c r="AL25" s="157">
        <v>9.3632958801498134E-2</v>
      </c>
      <c r="AM25" s="157">
        <v>5.8052434456928842E-2</v>
      </c>
      <c r="AN25" s="157">
        <v>0.68896620620758564</v>
      </c>
      <c r="AO25" s="157">
        <v>1.477832512315271E-2</v>
      </c>
      <c r="AP25" s="157"/>
      <c r="AQ25" s="157">
        <v>9.8493056239535137E-2</v>
      </c>
      <c r="AR25" s="157"/>
      <c r="AS25" s="157"/>
      <c r="AT25" s="157">
        <v>0.3795824592947758</v>
      </c>
      <c r="AU25" s="157">
        <v>0.13693270735524257</v>
      </c>
      <c r="AV25" s="157">
        <v>6.5727699530516437E-2</v>
      </c>
      <c r="AW25" s="157">
        <v>6.1032863849765265E-2</v>
      </c>
    </row>
    <row r="26" spans="1:49" s="158" customFormat="1" x14ac:dyDescent="0.2">
      <c r="A26" s="171">
        <v>22</v>
      </c>
      <c r="B26" s="156" t="s">
        <v>56</v>
      </c>
      <c r="C26" s="157"/>
      <c r="D26" s="157">
        <v>0.25254978144730456</v>
      </c>
      <c r="E26" s="157"/>
      <c r="F26" s="157">
        <v>0.21340162185232608</v>
      </c>
      <c r="G26" s="157">
        <v>0.14852987710767124</v>
      </c>
      <c r="H26" s="157">
        <v>4.6948356807511742E-2</v>
      </c>
      <c r="I26" s="157">
        <v>6.1032863849765265E-2</v>
      </c>
      <c r="J26" s="157"/>
      <c r="K26" s="157"/>
      <c r="L26" s="157"/>
      <c r="M26" s="157"/>
      <c r="N26" s="157"/>
      <c r="O26" s="157"/>
      <c r="P26" s="157">
        <v>0.15468901063486948</v>
      </c>
      <c r="Q26" s="157"/>
      <c r="R26" s="157">
        <v>0.3733168558996936</v>
      </c>
      <c r="S26" s="157">
        <v>8.3559372147732958E-2</v>
      </c>
      <c r="T26" s="157">
        <v>4.6728971962616828E-2</v>
      </c>
      <c r="U26" s="157">
        <v>6.5420560747663559E-2</v>
      </c>
      <c r="V26" s="157">
        <v>0.13161358252171626</v>
      </c>
      <c r="W26" s="157"/>
      <c r="X26" s="157"/>
      <c r="Y26" s="157">
        <v>0.13161358252171626</v>
      </c>
      <c r="Z26" s="157">
        <v>0.26286459319075561</v>
      </c>
      <c r="AA26" s="157">
        <v>0.131251509392358</v>
      </c>
      <c r="AB26" s="157">
        <v>4.5801526717557252E-2</v>
      </c>
      <c r="AC26" s="157">
        <v>0.46487681324293828</v>
      </c>
      <c r="AD26" s="157">
        <v>0.11574877885038312</v>
      </c>
      <c r="AE26" s="157">
        <v>3.7348272642390287E-3</v>
      </c>
      <c r="AF26" s="157">
        <v>0.10270774976657329</v>
      </c>
      <c r="AG26" s="157">
        <v>6.2558356676003721E-2</v>
      </c>
      <c r="AH26" s="157">
        <v>0.19318072056408772</v>
      </c>
      <c r="AI26" s="157">
        <v>0.27169609267885064</v>
      </c>
      <c r="AJ26" s="157">
        <v>0.11574877885038314</v>
      </c>
      <c r="AK26" s="157">
        <v>4.6685340802987861E-3</v>
      </c>
      <c r="AL26" s="157">
        <v>0.10270774976657331</v>
      </c>
      <c r="AM26" s="157">
        <v>6.1624649859943981E-2</v>
      </c>
      <c r="AN26" s="157">
        <v>0.69648989985171728</v>
      </c>
      <c r="AO26" s="157">
        <v>1.4720314033366044E-2</v>
      </c>
      <c r="AP26" s="157"/>
      <c r="AQ26" s="157"/>
      <c r="AR26" s="157">
        <v>0.2525497814473045</v>
      </c>
      <c r="AS26" s="157"/>
      <c r="AT26" s="157">
        <v>0.21340162185232608</v>
      </c>
      <c r="AU26" s="157">
        <v>0.14852987710767124</v>
      </c>
      <c r="AV26" s="157">
        <v>4.6948356807511742E-2</v>
      </c>
      <c r="AW26" s="157">
        <v>6.1032863849765265E-2</v>
      </c>
    </row>
    <row r="27" spans="1:49" s="158" customFormat="1" x14ac:dyDescent="0.2">
      <c r="A27" s="171">
        <v>23</v>
      </c>
      <c r="B27" s="156" t="s">
        <v>109</v>
      </c>
      <c r="C27" s="196"/>
      <c r="D27" s="196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</row>
    <row r="28" spans="1:49" s="158" customFormat="1" x14ac:dyDescent="0.2">
      <c r="A28" s="171">
        <v>24</v>
      </c>
      <c r="B28" s="156" t="s">
        <v>119</v>
      </c>
      <c r="C28" s="196">
        <v>0.19325796272786949</v>
      </c>
      <c r="D28" s="196">
        <v>0</v>
      </c>
      <c r="E28" s="196">
        <v>0</v>
      </c>
      <c r="F28" s="196">
        <v>0.33626922231275624</v>
      </c>
      <c r="G28" s="196">
        <v>8.3951669669553308E-2</v>
      </c>
      <c r="H28" s="196">
        <v>5.6338028169014086E-2</v>
      </c>
      <c r="I28" s="196">
        <v>6.1032863849765265E-2</v>
      </c>
      <c r="J28" s="196">
        <v>0</v>
      </c>
      <c r="K28" s="196">
        <v>0</v>
      </c>
      <c r="L28" s="196">
        <v>0</v>
      </c>
      <c r="M28" s="196">
        <v>0</v>
      </c>
      <c r="N28" s="196">
        <v>0</v>
      </c>
      <c r="O28" s="196">
        <v>0</v>
      </c>
      <c r="P28" s="196">
        <v>0</v>
      </c>
      <c r="Q28" s="196">
        <v>8.224529659710085E-2</v>
      </c>
      <c r="R28" s="196">
        <v>0.3621360855675837</v>
      </c>
      <c r="S28" s="196">
        <v>0.1614455185952948</v>
      </c>
      <c r="T28" s="196">
        <v>6.5727699530516437E-2</v>
      </c>
      <c r="U28" s="196">
        <v>6.1032863849765265E-2</v>
      </c>
      <c r="V28" s="196">
        <v>0.1583897046691965</v>
      </c>
      <c r="W28" s="196">
        <v>0</v>
      </c>
      <c r="X28" s="196">
        <v>0.12904058326343637</v>
      </c>
      <c r="Y28" s="196">
        <v>0</v>
      </c>
      <c r="Z28" s="196">
        <v>0.23725730554786667</v>
      </c>
      <c r="AA28" s="196">
        <v>0.13820972338311074</v>
      </c>
      <c r="AB28" s="196">
        <v>4.3062200956937802E-2</v>
      </c>
      <c r="AC28" s="196">
        <v>0.39946897257911818</v>
      </c>
      <c r="AD28" s="196">
        <v>0.1808981853327751</v>
      </c>
      <c r="AE28" s="196">
        <v>3.7523452157598499E-3</v>
      </c>
      <c r="AF28" s="196">
        <v>0.11257035647279549</v>
      </c>
      <c r="AG28" s="196">
        <v>5.8161350844277676E-2</v>
      </c>
      <c r="AH28" s="196">
        <v>0</v>
      </c>
      <c r="AI28" s="196">
        <v>0.39834791839975675</v>
      </c>
      <c r="AJ28" s="196">
        <v>0.18039051970508729</v>
      </c>
      <c r="AK28" s="196">
        <v>6.5481758652946673E-3</v>
      </c>
      <c r="AL28" s="196">
        <v>0.11225444340505145</v>
      </c>
      <c r="AM28" s="196">
        <v>5.7998129092609915E-2</v>
      </c>
      <c r="AN28" s="196">
        <v>0.69937249502256604</v>
      </c>
      <c r="AO28" s="196">
        <v>1.4584154513204571E-2</v>
      </c>
      <c r="AP28" s="196">
        <v>0</v>
      </c>
      <c r="AQ28" s="196">
        <v>0</v>
      </c>
      <c r="AR28" s="196">
        <v>0</v>
      </c>
      <c r="AS28" s="196">
        <v>0</v>
      </c>
      <c r="AT28" s="196">
        <v>0</v>
      </c>
      <c r="AU28" s="196">
        <v>0</v>
      </c>
      <c r="AV28" s="196">
        <v>0</v>
      </c>
      <c r="AW28" s="196">
        <v>0</v>
      </c>
    </row>
    <row r="29" spans="1:49" s="158" customFormat="1" x14ac:dyDescent="0.2">
      <c r="A29" s="171">
        <v>25</v>
      </c>
      <c r="B29" s="156" t="s">
        <v>26</v>
      </c>
      <c r="C29" s="157"/>
      <c r="D29" s="157">
        <v>0.20722033349522423</v>
      </c>
      <c r="E29" s="157"/>
      <c r="F29" s="157">
        <v>0.27806877998939461</v>
      </c>
      <c r="G29" s="157">
        <v>0.12915641487623586</v>
      </c>
      <c r="H29" s="157">
        <v>4.6948356807511742E-2</v>
      </c>
      <c r="I29" s="157">
        <v>6.1032863849765265E-2</v>
      </c>
      <c r="J29" s="157"/>
      <c r="K29" s="157"/>
      <c r="L29" s="157"/>
      <c r="M29" s="157"/>
      <c r="N29" s="157"/>
      <c r="O29" s="157"/>
      <c r="P29" s="157"/>
      <c r="Q29" s="157"/>
      <c r="R29" s="157">
        <v>0.51491980124095671</v>
      </c>
      <c r="S29" s="157">
        <v>8.9987016159097044E-2</v>
      </c>
      <c r="T29" s="157">
        <v>5.6074766355140186E-2</v>
      </c>
      <c r="U29" s="157">
        <v>6.5420560747663559E-2</v>
      </c>
      <c r="V29" s="157">
        <v>0.13136288998357964</v>
      </c>
      <c r="W29" s="157"/>
      <c r="X29" s="157"/>
      <c r="Y29" s="157">
        <v>0.13136288998357964</v>
      </c>
      <c r="Z29" s="157">
        <v>0.13118194936376756</v>
      </c>
      <c r="AA29" s="157">
        <v>0.2620030130346499</v>
      </c>
      <c r="AB29" s="157">
        <v>4.7619047619047623E-2</v>
      </c>
      <c r="AC29" s="157">
        <v>0.41278460499842212</v>
      </c>
      <c r="AD29" s="157">
        <v>0.1744375358566046</v>
      </c>
      <c r="AE29" s="157">
        <v>3.7523452157598499E-3</v>
      </c>
      <c r="AF29" s="157">
        <v>0.10318949343339587</v>
      </c>
      <c r="AG29" s="157">
        <v>5.8161350844277676E-2</v>
      </c>
      <c r="AH29" s="157"/>
      <c r="AI29" s="157">
        <v>0.41239774032644605</v>
      </c>
      <c r="AJ29" s="157">
        <v>0.17427405175552058</v>
      </c>
      <c r="AK29" s="157">
        <v>4.6860356138706651E-3</v>
      </c>
      <c r="AL29" s="157">
        <v>0.10309278350515463</v>
      </c>
      <c r="AM29" s="157">
        <v>5.8106841611996245E-2</v>
      </c>
      <c r="AN29" s="157">
        <v>0.69923468763438423</v>
      </c>
      <c r="AO29" s="157">
        <v>1.477832512315271E-2</v>
      </c>
      <c r="AP29" s="157"/>
      <c r="AQ29" s="157"/>
      <c r="AR29" s="157">
        <v>0.20722033349522423</v>
      </c>
      <c r="AS29" s="157"/>
      <c r="AT29" s="157">
        <v>0.27806877998939461</v>
      </c>
      <c r="AU29" s="157">
        <v>0.12915641487623586</v>
      </c>
      <c r="AV29" s="157">
        <v>4.6948356807511742E-2</v>
      </c>
      <c r="AW29" s="157">
        <v>6.1032863849765265E-2</v>
      </c>
    </row>
    <row r="30" spans="1:49" s="158" customFormat="1" x14ac:dyDescent="0.2">
      <c r="A30" s="171">
        <v>26</v>
      </c>
      <c r="B30" s="156" t="s">
        <v>33</v>
      </c>
      <c r="C30" s="157"/>
      <c r="D30" s="157">
        <v>0.15968828846092428</v>
      </c>
      <c r="E30" s="157"/>
      <c r="F30" s="157">
        <v>0.45329447952080304</v>
      </c>
      <c r="G30" s="157"/>
      <c r="H30" s="157">
        <v>4.6948356807511742E-2</v>
      </c>
      <c r="I30" s="157">
        <v>6.1032863849765265E-2</v>
      </c>
      <c r="J30" s="157"/>
      <c r="K30" s="157"/>
      <c r="L30" s="157"/>
      <c r="M30" s="157"/>
      <c r="N30" s="157"/>
      <c r="O30" s="157"/>
      <c r="P30" s="157"/>
      <c r="Q30" s="157"/>
      <c r="R30" s="157">
        <v>0.61708501927644699</v>
      </c>
      <c r="S30" s="157"/>
      <c r="T30" s="157">
        <v>4.6728971962616828E-2</v>
      </c>
      <c r="U30" s="157">
        <v>6.5420560747663559E-2</v>
      </c>
      <c r="V30" s="157">
        <v>6.5681444991789822E-2</v>
      </c>
      <c r="W30" s="157"/>
      <c r="X30" s="157"/>
      <c r="Y30" s="157">
        <v>0.16196954972465177</v>
      </c>
      <c r="Z30" s="157">
        <v>0.4269293924466338</v>
      </c>
      <c r="AA30" s="157"/>
      <c r="AB30" s="157">
        <v>4.7619047619047623E-2</v>
      </c>
      <c r="AC30" s="157">
        <v>0.40203698740284105</v>
      </c>
      <c r="AD30" s="157">
        <v>0.19408682150481982</v>
      </c>
      <c r="AE30" s="157">
        <v>3.7523452157598499E-3</v>
      </c>
      <c r="AF30" s="157">
        <v>9.3808630393996256E-2</v>
      </c>
      <c r="AG30" s="157">
        <v>5.8161350844277676E-2</v>
      </c>
      <c r="AH30" s="157"/>
      <c r="AI30" s="157">
        <v>0.40166019547462839</v>
      </c>
      <c r="AJ30" s="157">
        <v>0.19390492195326889</v>
      </c>
      <c r="AK30" s="157">
        <v>4.6860356138706651E-3</v>
      </c>
      <c r="AL30" s="157">
        <v>9.3720712277413298E-2</v>
      </c>
      <c r="AM30" s="157">
        <v>5.8106841611996245E-2</v>
      </c>
      <c r="AN30" s="157">
        <v>0.70721357850070721</v>
      </c>
      <c r="AO30" s="157">
        <v>9.9009900990099011E-3</v>
      </c>
      <c r="AP30" s="157"/>
      <c r="AQ30" s="157"/>
      <c r="AR30" s="157"/>
      <c r="AS30" s="157"/>
      <c r="AT30" s="157">
        <v>0.50030279591555293</v>
      </c>
      <c r="AU30" s="157">
        <v>0.1235483073881888</v>
      </c>
      <c r="AV30" s="157">
        <v>5.6338028169014086E-2</v>
      </c>
      <c r="AW30" s="157">
        <v>6.1032863849765265E-2</v>
      </c>
    </row>
    <row r="31" spans="1:49" s="158" customFormat="1" x14ac:dyDescent="0.2">
      <c r="A31" s="171">
        <v>27</v>
      </c>
      <c r="B31" s="156" t="s">
        <v>131</v>
      </c>
      <c r="C31" s="196">
        <v>0</v>
      </c>
      <c r="D31" s="196">
        <v>0.16122375277304854</v>
      </c>
      <c r="E31" s="196">
        <v>0</v>
      </c>
      <c r="F31" s="196">
        <v>0.28453549580310145</v>
      </c>
      <c r="G31" s="196">
        <v>0.1614455185952948</v>
      </c>
      <c r="H31" s="196">
        <v>5.6338028169014086E-2</v>
      </c>
      <c r="I31" s="196">
        <v>6.1032863849765265E-2</v>
      </c>
      <c r="J31" s="196">
        <v>0</v>
      </c>
      <c r="K31" s="196">
        <v>0</v>
      </c>
      <c r="L31" s="196">
        <v>0</v>
      </c>
      <c r="M31" s="196">
        <v>0</v>
      </c>
      <c r="N31" s="196">
        <v>0</v>
      </c>
      <c r="O31" s="196">
        <v>7.2962198948017754E-2</v>
      </c>
      <c r="P31" s="196">
        <v>0</v>
      </c>
      <c r="Q31" s="196">
        <v>0</v>
      </c>
      <c r="R31" s="196">
        <v>0.3861898509307175</v>
      </c>
      <c r="S31" s="196">
        <v>0.13498052423864557</v>
      </c>
      <c r="T31" s="196">
        <v>7.476635514018691E-2</v>
      </c>
      <c r="U31" s="196">
        <v>6.5420560747663559E-2</v>
      </c>
      <c r="V31" s="196">
        <v>0.17158884672496288</v>
      </c>
      <c r="W31" s="196">
        <v>0</v>
      </c>
      <c r="X31" s="196">
        <v>0</v>
      </c>
      <c r="Y31" s="196">
        <v>0.11173037488826962</v>
      </c>
      <c r="Z31" s="196">
        <v>0.23066682483820372</v>
      </c>
      <c r="AA31" s="196">
        <v>0.14479113878230651</v>
      </c>
      <c r="AB31" s="196">
        <v>4.3062200956937802E-2</v>
      </c>
      <c r="AC31" s="196">
        <v>0.39946897257911818</v>
      </c>
      <c r="AD31" s="196">
        <v>0.1808981853327751</v>
      </c>
      <c r="AE31" s="196">
        <v>3.7523452157598499E-3</v>
      </c>
      <c r="AF31" s="196">
        <v>0.11257035647279549</v>
      </c>
      <c r="AG31" s="196">
        <v>5.8161350844277676E-2</v>
      </c>
      <c r="AH31" s="196">
        <v>0</v>
      </c>
      <c r="AI31" s="196">
        <v>0.39872090334207866</v>
      </c>
      <c r="AJ31" s="196">
        <v>0.18055942468608455</v>
      </c>
      <c r="AK31" s="196">
        <v>5.6179775280898884E-3</v>
      </c>
      <c r="AL31" s="196">
        <v>0.11235955056179776</v>
      </c>
      <c r="AM31" s="196">
        <v>5.8052434456928842E-2</v>
      </c>
      <c r="AN31" s="196">
        <v>0.70269624549396037</v>
      </c>
      <c r="AO31" s="196">
        <v>9.9009900990099011E-3</v>
      </c>
      <c r="AP31" s="196">
        <v>0</v>
      </c>
      <c r="AQ31" s="196">
        <v>0.11995321824488453</v>
      </c>
      <c r="AR31" s="196">
        <v>0</v>
      </c>
      <c r="AS31" s="196">
        <v>0</v>
      </c>
      <c r="AT31" s="196">
        <v>0.35566936975387681</v>
      </c>
      <c r="AU31" s="196">
        <v>0.14207205636385944</v>
      </c>
      <c r="AV31" s="196">
        <v>4.6948356807511742E-2</v>
      </c>
      <c r="AW31" s="196">
        <v>6.1032863849765265E-2</v>
      </c>
    </row>
    <row r="32" spans="1:49" s="158" customFormat="1" x14ac:dyDescent="0.2">
      <c r="A32" s="171">
        <v>28</v>
      </c>
      <c r="B32" s="156" t="s">
        <v>43</v>
      </c>
      <c r="C32" s="157"/>
      <c r="D32" s="157">
        <v>0.16189088554314393</v>
      </c>
      <c r="E32" s="157"/>
      <c r="F32" s="157">
        <v>0.31937657692184857</v>
      </c>
      <c r="G32" s="157">
        <v>0.12115704982583675</v>
      </c>
      <c r="H32" s="157">
        <v>4.6948356807511742E-2</v>
      </c>
      <c r="I32" s="157">
        <v>6.1032863849765265E-2</v>
      </c>
      <c r="J32" s="157"/>
      <c r="K32" s="157"/>
      <c r="L32" s="157"/>
      <c r="M32" s="157"/>
      <c r="N32" s="157"/>
      <c r="O32" s="157"/>
      <c r="P32" s="157"/>
      <c r="Q32" s="157"/>
      <c r="R32" s="157">
        <v>0.48247751852558263</v>
      </c>
      <c r="S32" s="157">
        <v>0.12059089538739824</v>
      </c>
      <c r="T32" s="157">
        <v>4.6728971962616828E-2</v>
      </c>
      <c r="U32" s="157">
        <v>6.5420560747663559E-2</v>
      </c>
      <c r="V32" s="157">
        <v>6.5995710278831873E-2</v>
      </c>
      <c r="W32" s="157"/>
      <c r="X32" s="157"/>
      <c r="Y32" s="157">
        <v>0.19798713083649566</v>
      </c>
      <c r="Z32" s="157">
        <v>0.19529342837613514</v>
      </c>
      <c r="AA32" s="157">
        <v>0.18521376755672173</v>
      </c>
      <c r="AB32" s="157">
        <v>4.3062200956937802E-2</v>
      </c>
      <c r="AC32" s="157">
        <v>0.40203698740284105</v>
      </c>
      <c r="AD32" s="157">
        <v>0.19144618447754336</v>
      </c>
      <c r="AE32" s="157">
        <v>3.7523452157598499E-3</v>
      </c>
      <c r="AF32" s="157">
        <v>9.3808630393996256E-2</v>
      </c>
      <c r="AG32" s="157">
        <v>5.8161350844277676E-2</v>
      </c>
      <c r="AH32" s="157"/>
      <c r="AI32" s="157">
        <v>0.40166019547462839</v>
      </c>
      <c r="AJ32" s="157">
        <v>0.19126675974982305</v>
      </c>
      <c r="AK32" s="157">
        <v>4.6860356138706651E-3</v>
      </c>
      <c r="AL32" s="157">
        <v>9.3720712277413298E-2</v>
      </c>
      <c r="AM32" s="157">
        <v>5.8106841611996245E-2</v>
      </c>
      <c r="AN32" s="157">
        <v>0.70721357850070721</v>
      </c>
      <c r="AO32" s="157">
        <v>9.9009900990099011E-3</v>
      </c>
      <c r="AP32" s="157"/>
      <c r="AQ32" s="157"/>
      <c r="AR32" s="157"/>
      <c r="AS32" s="157"/>
      <c r="AT32" s="157">
        <v>0.49765967941688938</v>
      </c>
      <c r="AU32" s="157">
        <v>0.12115704982583675</v>
      </c>
      <c r="AV32" s="157">
        <v>5.6338028169014086E-2</v>
      </c>
      <c r="AW32" s="157">
        <v>6.1032863849765265E-2</v>
      </c>
    </row>
    <row r="33" spans="1:49" s="158" customFormat="1" x14ac:dyDescent="0.2">
      <c r="A33" s="171">
        <v>29</v>
      </c>
      <c r="B33" s="156" t="s">
        <v>85</v>
      </c>
      <c r="C33" s="157"/>
      <c r="D33" s="157">
        <v>0.16122375277304854</v>
      </c>
      <c r="E33" s="157"/>
      <c r="F33" s="157">
        <v>0.28453549580310145</v>
      </c>
      <c r="G33" s="157">
        <v>0.1614455185952948</v>
      </c>
      <c r="H33" s="157">
        <v>5.6338028169014086E-2</v>
      </c>
      <c r="I33" s="157">
        <v>6.1032863849765265E-2</v>
      </c>
      <c r="J33" s="157"/>
      <c r="K33" s="157"/>
      <c r="L33" s="157"/>
      <c r="M33" s="157"/>
      <c r="N33" s="157"/>
      <c r="O33" s="157">
        <v>7.2962198948017754E-2</v>
      </c>
      <c r="P33" s="157"/>
      <c r="Q33" s="157"/>
      <c r="R33" s="157">
        <v>0.3861898509307175</v>
      </c>
      <c r="S33" s="157">
        <v>0.13498052423864557</v>
      </c>
      <c r="T33" s="157">
        <v>7.476635514018691E-2</v>
      </c>
      <c r="U33" s="157">
        <v>6.5420560747663559E-2</v>
      </c>
      <c r="V33" s="157">
        <v>0.17158884672496288</v>
      </c>
      <c r="W33" s="157"/>
      <c r="X33" s="157"/>
      <c r="Y33" s="157">
        <v>0.11173037488826962</v>
      </c>
      <c r="Z33" s="157">
        <v>0.23066682483820372</v>
      </c>
      <c r="AA33" s="157">
        <v>0.14479113878230651</v>
      </c>
      <c r="AB33" s="157">
        <v>4.3062200956937802E-2</v>
      </c>
      <c r="AC33" s="157">
        <v>0.39946897257911818</v>
      </c>
      <c r="AD33" s="157">
        <v>0.1808981853327751</v>
      </c>
      <c r="AE33" s="157">
        <v>3.7523452157598499E-3</v>
      </c>
      <c r="AF33" s="157">
        <v>0.11257035647279549</v>
      </c>
      <c r="AG33" s="157">
        <v>5.8161350844277676E-2</v>
      </c>
      <c r="AH33" s="157"/>
      <c r="AI33" s="157">
        <v>0.39872090334207866</v>
      </c>
      <c r="AJ33" s="157">
        <v>0.18055942468608455</v>
      </c>
      <c r="AK33" s="157">
        <v>5.6179775280898884E-3</v>
      </c>
      <c r="AL33" s="157">
        <v>0.11235955056179776</v>
      </c>
      <c r="AM33" s="157">
        <v>5.8052434456928842E-2</v>
      </c>
      <c r="AN33" s="157">
        <v>0.70269624549396037</v>
      </c>
      <c r="AO33" s="157">
        <v>9.9009900990099011E-3</v>
      </c>
      <c r="AP33" s="157"/>
      <c r="AQ33" s="157">
        <v>0.11995321824488453</v>
      </c>
      <c r="AR33" s="157"/>
      <c r="AS33" s="157"/>
      <c r="AT33" s="157">
        <v>0.35566936975387681</v>
      </c>
      <c r="AU33" s="157">
        <v>0.14207205636385944</v>
      </c>
      <c r="AV33" s="157">
        <v>4.6948356807511742E-2</v>
      </c>
      <c r="AW33" s="157">
        <v>6.1032863849765265E-2</v>
      </c>
    </row>
    <row r="34" spans="1:49" s="158" customFormat="1" x14ac:dyDescent="0.2">
      <c r="A34" s="171">
        <v>30</v>
      </c>
      <c r="B34" s="156" t="s">
        <v>50</v>
      </c>
      <c r="C34" s="157"/>
      <c r="D34" s="157">
        <v>0.18131779180832119</v>
      </c>
      <c r="E34" s="157"/>
      <c r="F34" s="157">
        <v>0.36911121903836813</v>
      </c>
      <c r="G34" s="157">
        <v>6.218325404968443E-2</v>
      </c>
      <c r="H34" s="157">
        <v>4.6948356807511742E-2</v>
      </c>
      <c r="I34" s="157">
        <v>6.1032863849765265E-2</v>
      </c>
      <c r="J34" s="157"/>
      <c r="K34" s="157"/>
      <c r="L34" s="157"/>
      <c r="M34" s="157"/>
      <c r="N34" s="157"/>
      <c r="O34" s="157"/>
      <c r="P34" s="157"/>
      <c r="Q34" s="157"/>
      <c r="R34" s="157">
        <v>0.61469784318640264</v>
      </c>
      <c r="S34" s="157"/>
      <c r="T34" s="157">
        <v>4.6728971962616828E-2</v>
      </c>
      <c r="U34" s="157">
        <v>6.5420560747663559E-2</v>
      </c>
      <c r="V34" s="157">
        <v>0.14619883040935672</v>
      </c>
      <c r="W34" s="157"/>
      <c r="X34" s="157"/>
      <c r="Y34" s="157">
        <v>0.15179013364131333</v>
      </c>
      <c r="Z34" s="157">
        <v>0.29698069625474344</v>
      </c>
      <c r="AA34" s="157">
        <v>6.3373364175037236E-2</v>
      </c>
      <c r="AB34" s="157">
        <v>4.3062200956937802E-2</v>
      </c>
      <c r="AC34" s="157">
        <v>0.39978678038379534</v>
      </c>
      <c r="AD34" s="157">
        <v>0.19300051466803914</v>
      </c>
      <c r="AE34" s="157">
        <v>3.7313432835820899E-3</v>
      </c>
      <c r="AF34" s="157">
        <v>9.3283582089552244E-2</v>
      </c>
      <c r="AG34" s="157">
        <v>6.3432835820895525E-2</v>
      </c>
      <c r="AH34" s="157"/>
      <c r="AI34" s="157">
        <v>0.37909018355945734</v>
      </c>
      <c r="AJ34" s="157">
        <v>0.21190522057407052</v>
      </c>
      <c r="AK34" s="157">
        <v>5.5865921787709499E-3</v>
      </c>
      <c r="AL34" s="157">
        <v>9.3109869646182508E-2</v>
      </c>
      <c r="AM34" s="157">
        <v>6.3314711359404099E-2</v>
      </c>
      <c r="AN34" s="157">
        <v>0.70372976776917673</v>
      </c>
      <c r="AO34" s="157">
        <v>1.477832512315271E-2</v>
      </c>
      <c r="AP34" s="157"/>
      <c r="AQ34" s="157"/>
      <c r="AR34" s="157"/>
      <c r="AS34" s="157"/>
      <c r="AT34" s="157">
        <v>0.55690464626841507</v>
      </c>
      <c r="AU34" s="157">
        <v>6.218325404968443E-2</v>
      </c>
      <c r="AV34" s="157">
        <v>5.6338028169014086E-2</v>
      </c>
      <c r="AW34" s="157">
        <v>6.1032863849765265E-2</v>
      </c>
    </row>
    <row r="35" spans="1:49" s="158" customFormat="1" x14ac:dyDescent="0.2">
      <c r="A35" s="171">
        <v>31</v>
      </c>
      <c r="B35" s="156" t="s">
        <v>128</v>
      </c>
      <c r="C35" s="157"/>
      <c r="D35" s="157">
        <v>0.17853600476096013</v>
      </c>
      <c r="E35" s="157"/>
      <c r="F35" s="157">
        <v>0.40340810293861934</v>
      </c>
      <c r="G35" s="157">
        <v>6.0190201035271465E-2</v>
      </c>
      <c r="H35" s="157">
        <v>4.6948356807511742E-2</v>
      </c>
      <c r="I35" s="157">
        <v>6.1032863849765265E-2</v>
      </c>
      <c r="J35" s="157"/>
      <c r="K35" s="157"/>
      <c r="L35" s="157"/>
      <c r="M35" s="157"/>
      <c r="N35" s="157"/>
      <c r="O35" s="157">
        <v>0.10013351134846463</v>
      </c>
      <c r="P35" s="157"/>
      <c r="Q35" s="157"/>
      <c r="R35" s="157">
        <v>0.51921079958463134</v>
      </c>
      <c r="S35" s="157">
        <v>2.9954469206805653E-2</v>
      </c>
      <c r="T35" s="157">
        <v>4.6728971962616828E-2</v>
      </c>
      <c r="U35" s="157">
        <v>6.5420560747663559E-2</v>
      </c>
      <c r="V35" s="157">
        <v>0.1116584564860427</v>
      </c>
      <c r="W35" s="157"/>
      <c r="X35" s="157"/>
      <c r="Y35" s="157">
        <v>0.1341381623071764</v>
      </c>
      <c r="Z35" s="157">
        <v>0.44444444444444442</v>
      </c>
      <c r="AA35" s="157"/>
      <c r="AB35" s="157">
        <v>4.7619047619047623E-2</v>
      </c>
      <c r="AC35" s="157">
        <v>0.38086329012428166</v>
      </c>
      <c r="AD35" s="157">
        <v>0.22866645878806774</v>
      </c>
      <c r="AE35" s="157">
        <v>3.7418147801683817E-3</v>
      </c>
      <c r="AF35" s="157">
        <v>9.3545369504209538E-2</v>
      </c>
      <c r="AG35" s="157">
        <v>6.0804490177736197E-2</v>
      </c>
      <c r="AH35" s="157"/>
      <c r="AI35" s="157">
        <v>0.38015206082432973</v>
      </c>
      <c r="AJ35" s="157">
        <v>0.22823944392571846</v>
      </c>
      <c r="AK35" s="157">
        <v>5.6022408963585443E-3</v>
      </c>
      <c r="AL35" s="157">
        <v>9.3370681605975739E-2</v>
      </c>
      <c r="AM35" s="157">
        <v>6.0690943043884227E-2</v>
      </c>
      <c r="AN35" s="157">
        <v>0.70372976776917673</v>
      </c>
      <c r="AO35" s="157">
        <v>1.477832512315271E-2</v>
      </c>
      <c r="AP35" s="157"/>
      <c r="AQ35" s="157"/>
      <c r="AR35" s="157"/>
      <c r="AS35" s="157"/>
      <c r="AT35" s="157">
        <v>0.58570198105081828</v>
      </c>
      <c r="AU35" s="157">
        <v>5.9630292188431723E-2</v>
      </c>
      <c r="AV35" s="157">
        <v>4.651162790697675E-2</v>
      </c>
      <c r="AW35" s="157">
        <v>6.9767441860465129E-2</v>
      </c>
    </row>
    <row r="36" spans="1:49" s="158" customFormat="1" x14ac:dyDescent="0.2">
      <c r="A36" s="171">
        <v>32</v>
      </c>
      <c r="B36" s="156" t="s">
        <v>127</v>
      </c>
      <c r="C36" s="157"/>
      <c r="D36" s="157">
        <v>0.16078204386134157</v>
      </c>
      <c r="E36" s="157"/>
      <c r="F36" s="157">
        <v>0.29967036260113872</v>
      </c>
      <c r="G36" s="157">
        <v>0.14302148431427417</v>
      </c>
      <c r="H36" s="157">
        <v>6.5727699530516437E-2</v>
      </c>
      <c r="I36" s="157">
        <v>6.1032863849765265E-2</v>
      </c>
      <c r="J36" s="157"/>
      <c r="K36" s="157"/>
      <c r="L36" s="157"/>
      <c r="M36" s="157"/>
      <c r="N36" s="157"/>
      <c r="O36" s="157"/>
      <c r="P36" s="157"/>
      <c r="Q36" s="157"/>
      <c r="R36" s="157">
        <v>0.43828193481552313</v>
      </c>
      <c r="S36" s="157">
        <v>0.15502145496936776</v>
      </c>
      <c r="T36" s="157">
        <v>8.4269662921348326E-2</v>
      </c>
      <c r="U36" s="157">
        <v>6.3670411985018729E-2</v>
      </c>
      <c r="V36" s="157">
        <v>0.1583897046691965</v>
      </c>
      <c r="W36" s="157"/>
      <c r="X36" s="157"/>
      <c r="Y36" s="157">
        <v>0.12453300124533001</v>
      </c>
      <c r="Z36" s="157">
        <v>0.21717737283246799</v>
      </c>
      <c r="AA36" s="157">
        <v>0.1584334104375931</v>
      </c>
      <c r="AB36" s="157">
        <v>4.3062200956937802E-2</v>
      </c>
      <c r="AC36" s="157">
        <v>0.3962881014497539</v>
      </c>
      <c r="AD36" s="157">
        <v>0.19221846622920394</v>
      </c>
      <c r="AE36" s="157">
        <v>3.7383177570093464E-3</v>
      </c>
      <c r="AF36" s="157">
        <v>0.10280373831775701</v>
      </c>
      <c r="AG36" s="157">
        <v>6.1682242990654203E-2</v>
      </c>
      <c r="AH36" s="157"/>
      <c r="AI36" s="157">
        <v>0.3962881014497539</v>
      </c>
      <c r="AJ36" s="157">
        <v>0.19221846622920394</v>
      </c>
      <c r="AK36" s="157">
        <v>5.6074766355140183E-3</v>
      </c>
      <c r="AL36" s="157">
        <v>0.10280373831775701</v>
      </c>
      <c r="AM36" s="157">
        <v>5.9813084112149542E-2</v>
      </c>
      <c r="AN36" s="157">
        <v>0.69971661477101765</v>
      </c>
      <c r="AO36" s="157">
        <v>9.9009900990099011E-3</v>
      </c>
      <c r="AP36" s="157"/>
      <c r="AQ36" s="157">
        <v>0.14598782328837573</v>
      </c>
      <c r="AR36" s="157"/>
      <c r="AS36" s="157"/>
      <c r="AT36" s="157">
        <v>0.30632970399227516</v>
      </c>
      <c r="AU36" s="157">
        <v>0.15545813512421106</v>
      </c>
      <c r="AV36" s="157">
        <v>6.5727699530516437E-2</v>
      </c>
      <c r="AW36" s="157">
        <v>6.1032863849765265E-2</v>
      </c>
    </row>
    <row r="37" spans="1:49" s="158" customFormat="1" x14ac:dyDescent="0.2">
      <c r="A37" s="171">
        <v>33</v>
      </c>
      <c r="B37" s="156" t="s">
        <v>92</v>
      </c>
      <c r="C37" s="157"/>
      <c r="D37" s="157">
        <v>0.12951270843451515</v>
      </c>
      <c r="E37" s="157"/>
      <c r="F37" s="157">
        <v>0.47906486538277282</v>
      </c>
      <c r="G37" s="157"/>
      <c r="H37" s="157">
        <v>4.6948356807511742E-2</v>
      </c>
      <c r="I37" s="157">
        <v>6.1032863849765265E-2</v>
      </c>
      <c r="J37" s="157"/>
      <c r="K37" s="157"/>
      <c r="L37" s="157"/>
      <c r="M37" s="157"/>
      <c r="N37" s="157"/>
      <c r="O37" s="157">
        <v>6.7069081153588214E-2</v>
      </c>
      <c r="P37" s="157"/>
      <c r="Q37" s="157"/>
      <c r="R37" s="157">
        <v>0.52377758615183168</v>
      </c>
      <c r="S37" s="157"/>
      <c r="T37" s="157">
        <v>7.5117370892018781E-2</v>
      </c>
      <c r="U37" s="157">
        <v>6.1032863849765265E-2</v>
      </c>
      <c r="V37" s="157">
        <v>9.8993565418247831E-2</v>
      </c>
      <c r="W37" s="157"/>
      <c r="X37" s="157"/>
      <c r="Y37" s="157">
        <v>9.8993565418247831E-2</v>
      </c>
      <c r="Z37" s="157">
        <v>0.45568466621098208</v>
      </c>
      <c r="AA37" s="157"/>
      <c r="AB37" s="157">
        <v>4.3062200956937802E-2</v>
      </c>
      <c r="AC37" s="157">
        <v>0.43431778698383006</v>
      </c>
      <c r="AD37" s="157">
        <v>0.1590907644629414</v>
      </c>
      <c r="AE37" s="157">
        <v>3.7418147801683817E-3</v>
      </c>
      <c r="AF37" s="157">
        <v>9.3545369504209538E-2</v>
      </c>
      <c r="AG37" s="157">
        <v>6.0804490177736197E-2</v>
      </c>
      <c r="AH37" s="157"/>
      <c r="AI37" s="157">
        <v>0.43350673602774453</v>
      </c>
      <c r="AJ37" s="157">
        <v>0.158793676200639</v>
      </c>
      <c r="AK37" s="157">
        <v>5.6022408963585443E-3</v>
      </c>
      <c r="AL37" s="157">
        <v>9.3370681605975739E-2</v>
      </c>
      <c r="AM37" s="157">
        <v>6.0690943043884227E-2</v>
      </c>
      <c r="AN37" s="157">
        <v>0.70372976776917673</v>
      </c>
      <c r="AO37" s="157">
        <v>1.477832512315271E-2</v>
      </c>
      <c r="AP37" s="157"/>
      <c r="AQ37" s="157">
        <v>6.7069081153588214E-2</v>
      </c>
      <c r="AR37" s="157"/>
      <c r="AS37" s="157"/>
      <c r="AT37" s="157">
        <v>0.5365526492287056</v>
      </c>
      <c r="AU37" s="157"/>
      <c r="AV37" s="157">
        <v>5.6338028169014086E-2</v>
      </c>
      <c r="AW37" s="157">
        <v>6.1032863849765265E-2</v>
      </c>
    </row>
    <row r="38" spans="1:49" s="158" customFormat="1" x14ac:dyDescent="0.2">
      <c r="A38" s="171">
        <v>34</v>
      </c>
      <c r="B38" s="156" t="s">
        <v>5</v>
      </c>
      <c r="C38" s="157">
        <v>0.19325796272786949</v>
      </c>
      <c r="D38" s="157"/>
      <c r="E38" s="157"/>
      <c r="F38" s="157">
        <v>0.33626922231275624</v>
      </c>
      <c r="G38" s="157">
        <v>8.3951669669553308E-2</v>
      </c>
      <c r="H38" s="157">
        <v>5.6338028169014086E-2</v>
      </c>
      <c r="I38" s="157">
        <v>6.1032863849765265E-2</v>
      </c>
      <c r="J38" s="157"/>
      <c r="K38" s="157"/>
      <c r="L38" s="157"/>
      <c r="M38" s="157"/>
      <c r="N38" s="157"/>
      <c r="O38" s="157"/>
      <c r="P38" s="157"/>
      <c r="Q38" s="157">
        <v>8.224529659710085E-2</v>
      </c>
      <c r="R38" s="157">
        <v>0.3621360855675837</v>
      </c>
      <c r="S38" s="157">
        <v>0.1614455185952948</v>
      </c>
      <c r="T38" s="157">
        <v>6.5727699530516437E-2</v>
      </c>
      <c r="U38" s="157">
        <v>6.1032863849765265E-2</v>
      </c>
      <c r="V38" s="157">
        <v>0.1583897046691965</v>
      </c>
      <c r="W38" s="157"/>
      <c r="X38" s="157">
        <v>0.12904058326343637</v>
      </c>
      <c r="Y38" s="157"/>
      <c r="Z38" s="157">
        <v>0.23725730554786667</v>
      </c>
      <c r="AA38" s="157">
        <v>0.13820972338311074</v>
      </c>
      <c r="AB38" s="157">
        <v>4.3062200956937802E-2</v>
      </c>
      <c r="AC38" s="157">
        <v>0.39946897257911818</v>
      </c>
      <c r="AD38" s="157">
        <v>0.1808981853327751</v>
      </c>
      <c r="AE38" s="157">
        <v>3.7523452157598499E-3</v>
      </c>
      <c r="AF38" s="157">
        <v>0.11257035647279549</v>
      </c>
      <c r="AG38" s="157">
        <v>5.8161350844277676E-2</v>
      </c>
      <c r="AH38" s="157"/>
      <c r="AI38" s="157">
        <v>0.39834791839975675</v>
      </c>
      <c r="AJ38" s="157">
        <v>0.18039051970508729</v>
      </c>
      <c r="AK38" s="157">
        <v>6.5481758652946673E-3</v>
      </c>
      <c r="AL38" s="157">
        <v>0.11225444340505145</v>
      </c>
      <c r="AM38" s="157">
        <v>5.7998129092609915E-2</v>
      </c>
      <c r="AN38" s="157">
        <v>0.69937249502256604</v>
      </c>
      <c r="AO38" s="157">
        <v>1.4584154513204571E-2</v>
      </c>
      <c r="AP38" s="157"/>
      <c r="AQ38" s="157"/>
      <c r="AR38" s="157"/>
      <c r="AS38" s="157"/>
      <c r="AT38" s="157"/>
      <c r="AU38" s="157"/>
      <c r="AV38" s="157"/>
      <c r="AW38" s="157"/>
    </row>
    <row r="39" spans="1:49" s="158" customFormat="1" x14ac:dyDescent="0.2">
      <c r="A39" s="171">
        <v>35</v>
      </c>
      <c r="B39" s="156" t="s">
        <v>60</v>
      </c>
      <c r="C39" s="157"/>
      <c r="D39" s="157">
        <v>0.18148820326678766</v>
      </c>
      <c r="E39" s="157"/>
      <c r="F39" s="157">
        <v>0.27185732927359718</v>
      </c>
      <c r="G39" s="157">
        <v>0.14745253310629913</v>
      </c>
      <c r="H39" s="157">
        <v>6.5789473684210523E-2</v>
      </c>
      <c r="I39" s="157">
        <v>6.0150375939849628E-2</v>
      </c>
      <c r="J39" s="157"/>
      <c r="K39" s="157"/>
      <c r="L39" s="157"/>
      <c r="M39" s="157"/>
      <c r="N39" s="157"/>
      <c r="O39" s="157">
        <v>6.6020763530130241E-2</v>
      </c>
      <c r="P39" s="157"/>
      <c r="Q39" s="157"/>
      <c r="R39" s="157">
        <v>0.53174450637452764</v>
      </c>
      <c r="S39" s="157"/>
      <c r="T39" s="157">
        <v>6.5116279069767441E-2</v>
      </c>
      <c r="U39" s="157">
        <v>6.9767441860465129E-2</v>
      </c>
      <c r="V39" s="157">
        <v>0.14449917898193759</v>
      </c>
      <c r="W39" s="157"/>
      <c r="X39" s="157"/>
      <c r="Y39" s="157">
        <v>0.11822660098522167</v>
      </c>
      <c r="Z39" s="157">
        <v>0.19677292404565133</v>
      </c>
      <c r="AA39" s="157">
        <v>0.19489378288832582</v>
      </c>
      <c r="AB39" s="157">
        <v>4.7619047619047623E-2</v>
      </c>
      <c r="AC39" s="157">
        <v>0.38506965445309821</v>
      </c>
      <c r="AD39" s="157">
        <v>0.20616059394867117</v>
      </c>
      <c r="AE39" s="157">
        <v>3.7418147801683817E-3</v>
      </c>
      <c r="AF39" s="157">
        <v>9.3545369504209538E-2</v>
      </c>
      <c r="AG39" s="157">
        <v>6.0804490177736197E-2</v>
      </c>
      <c r="AH39" s="157"/>
      <c r="AI39" s="157">
        <v>0.384350570131057</v>
      </c>
      <c r="AJ39" s="157">
        <v>0.20577560684512558</v>
      </c>
      <c r="AK39" s="157">
        <v>5.6022408963585443E-3</v>
      </c>
      <c r="AL39" s="157">
        <v>9.3370681605975739E-2</v>
      </c>
      <c r="AM39" s="157">
        <v>6.0690943043884227E-2</v>
      </c>
      <c r="AN39" s="157">
        <v>0.69923468763438423</v>
      </c>
      <c r="AO39" s="157">
        <v>1.477832512315271E-2</v>
      </c>
      <c r="AP39" s="157"/>
      <c r="AQ39" s="157">
        <v>0.16660169200678404</v>
      </c>
      <c r="AR39" s="157"/>
      <c r="AS39" s="157"/>
      <c r="AT39" s="157">
        <v>0.28453549580310145</v>
      </c>
      <c r="AU39" s="157">
        <v>0.15371904002459505</v>
      </c>
      <c r="AV39" s="157">
        <v>6.5727699530516437E-2</v>
      </c>
      <c r="AW39" s="157">
        <v>6.1032863849765265E-2</v>
      </c>
    </row>
    <row r="40" spans="1:49" s="158" customFormat="1" x14ac:dyDescent="0.2">
      <c r="A40" s="171">
        <v>36</v>
      </c>
      <c r="B40" s="156" t="s">
        <v>130</v>
      </c>
      <c r="C40" s="157"/>
      <c r="D40" s="157">
        <v>0.20722033349522423</v>
      </c>
      <c r="E40" s="157"/>
      <c r="F40" s="157">
        <v>0.25305497286318385</v>
      </c>
      <c r="G40" s="157">
        <v>0.1564945226917058</v>
      </c>
      <c r="H40" s="157">
        <v>5.6338028169014086E-2</v>
      </c>
      <c r="I40" s="157">
        <v>6.1032863849765265E-2</v>
      </c>
      <c r="J40" s="157"/>
      <c r="K40" s="157"/>
      <c r="L40" s="157"/>
      <c r="M40" s="157"/>
      <c r="N40" s="157"/>
      <c r="O40" s="157"/>
      <c r="P40" s="157">
        <v>0.10998253218606457</v>
      </c>
      <c r="Q40" s="157"/>
      <c r="R40" s="157">
        <v>0.33930781206339072</v>
      </c>
      <c r="S40" s="157">
        <v>0.16286220554513239</v>
      </c>
      <c r="T40" s="157">
        <v>6.5666041275797365E-2</v>
      </c>
      <c r="U40" s="157">
        <v>6.1913696060037514E-2</v>
      </c>
      <c r="V40" s="157">
        <v>0.13199142055766375</v>
      </c>
      <c r="W40" s="157"/>
      <c r="X40" s="157"/>
      <c r="Y40" s="157">
        <v>0.13859099158554694</v>
      </c>
      <c r="Z40" s="157">
        <v>0.27147171604058506</v>
      </c>
      <c r="AA40" s="157">
        <v>0.12626262626262627</v>
      </c>
      <c r="AB40" s="157">
        <v>4.3062200956937802E-2</v>
      </c>
      <c r="AC40" s="157">
        <v>0.37287315117062542</v>
      </c>
      <c r="AD40" s="157">
        <v>0.21893597118006489</v>
      </c>
      <c r="AE40" s="157">
        <v>3.7418147801683817E-3</v>
      </c>
      <c r="AF40" s="157">
        <v>9.3545369504209538E-2</v>
      </c>
      <c r="AG40" s="157">
        <v>6.0804490177736197E-2</v>
      </c>
      <c r="AH40" s="157"/>
      <c r="AI40" s="157">
        <v>0.37217684276507806</v>
      </c>
      <c r="AJ40" s="157">
        <v>0.21852712716292194</v>
      </c>
      <c r="AK40" s="157">
        <v>5.6022408963585443E-3</v>
      </c>
      <c r="AL40" s="157">
        <v>9.3370681605975739E-2</v>
      </c>
      <c r="AM40" s="157">
        <v>6.0690943043884227E-2</v>
      </c>
      <c r="AN40" s="157">
        <v>0.68896620620758564</v>
      </c>
      <c r="AO40" s="157">
        <v>1.477832512315271E-2</v>
      </c>
      <c r="AP40" s="157"/>
      <c r="AQ40" s="157"/>
      <c r="AR40" s="157"/>
      <c r="AS40" s="157"/>
      <c r="AT40" s="157">
        <v>0.46615389737954926</v>
      </c>
      <c r="AU40" s="157">
        <v>0.14997391757955139</v>
      </c>
      <c r="AV40" s="157">
        <v>6.5727699530516437E-2</v>
      </c>
      <c r="AW40" s="157">
        <v>6.1032863849765265E-2</v>
      </c>
    </row>
    <row r="41" spans="1:49" s="158" customFormat="1" x14ac:dyDescent="0.2">
      <c r="A41" s="171">
        <v>37</v>
      </c>
      <c r="B41" s="156" t="s">
        <v>53</v>
      </c>
      <c r="C41" s="157"/>
      <c r="D41" s="157">
        <v>0.12951270843451515</v>
      </c>
      <c r="E41" s="157"/>
      <c r="F41" s="157">
        <v>0.47853697021430702</v>
      </c>
      <c r="G41" s="157"/>
      <c r="H41" s="157">
        <v>5.6338028169014086E-2</v>
      </c>
      <c r="I41" s="157">
        <v>6.1032863849765265E-2</v>
      </c>
      <c r="J41" s="157"/>
      <c r="K41" s="157"/>
      <c r="L41" s="157"/>
      <c r="M41" s="157"/>
      <c r="N41" s="157"/>
      <c r="O41" s="157"/>
      <c r="P41" s="157"/>
      <c r="Q41" s="157"/>
      <c r="R41" s="157">
        <v>0.55737074764558914</v>
      </c>
      <c r="S41" s="157">
        <v>3.8386487956239397E-2</v>
      </c>
      <c r="T41" s="157">
        <v>6.5116279069767441E-2</v>
      </c>
      <c r="U41" s="157">
        <v>6.9767441860465129E-2</v>
      </c>
      <c r="V41" s="157">
        <v>0.13136288998357964</v>
      </c>
      <c r="W41" s="157"/>
      <c r="X41" s="157"/>
      <c r="Y41" s="157">
        <v>0.13136288998357964</v>
      </c>
      <c r="Z41" s="157">
        <v>0.39354584809130266</v>
      </c>
      <c r="AA41" s="157">
        <v>0</v>
      </c>
      <c r="AB41" s="157">
        <v>4.7619047619047623E-2</v>
      </c>
      <c r="AC41" s="157">
        <v>0.39946897257911818</v>
      </c>
      <c r="AD41" s="157">
        <v>0.1808981853327751</v>
      </c>
      <c r="AE41" s="157">
        <v>3.7523452157598499E-3</v>
      </c>
      <c r="AF41" s="157">
        <v>0.11257035647279549</v>
      </c>
      <c r="AG41" s="157">
        <v>5.8161350844277676E-2</v>
      </c>
      <c r="AH41" s="157"/>
      <c r="AI41" s="157">
        <v>0.1326585435418505</v>
      </c>
      <c r="AJ41" s="157">
        <v>0.476300816147885</v>
      </c>
      <c r="AK41" s="157">
        <v>4.6728971962616819E-3</v>
      </c>
      <c r="AL41" s="157">
        <v>5.6074766355140186E-2</v>
      </c>
      <c r="AM41" s="157">
        <v>6.0747663551401869E-2</v>
      </c>
      <c r="AN41" s="157">
        <v>0.69580706661656866</v>
      </c>
      <c r="AO41" s="157">
        <v>1.9607843137254902E-2</v>
      </c>
      <c r="AP41" s="157"/>
      <c r="AQ41" s="157">
        <v>0.13328135360542726</v>
      </c>
      <c r="AR41" s="157"/>
      <c r="AS41" s="157"/>
      <c r="AT41" s="157">
        <v>0.40093638044982483</v>
      </c>
      <c r="AU41" s="157">
        <v>7.7493848925741515E-2</v>
      </c>
      <c r="AV41" s="157">
        <v>5.6338028169014086E-2</v>
      </c>
      <c r="AW41" s="157">
        <v>6.1032863849765265E-2</v>
      </c>
    </row>
    <row r="42" spans="1:49" s="158" customFormat="1" x14ac:dyDescent="0.2">
      <c r="A42" s="171">
        <v>38</v>
      </c>
      <c r="B42" s="156" t="s">
        <v>27</v>
      </c>
      <c r="C42" s="157"/>
      <c r="D42" s="157">
        <v>0.19991745343858022</v>
      </c>
      <c r="E42" s="157"/>
      <c r="F42" s="157">
        <v>0.25220191673456721</v>
      </c>
      <c r="G42" s="157">
        <v>0.15498769785148303</v>
      </c>
      <c r="H42" s="157">
        <v>5.6338028169014086E-2</v>
      </c>
      <c r="I42" s="157">
        <v>6.1032863849765265E-2</v>
      </c>
      <c r="J42" s="157"/>
      <c r="K42" s="157"/>
      <c r="L42" s="157"/>
      <c r="M42" s="157"/>
      <c r="N42" s="157"/>
      <c r="O42" s="157">
        <v>0.13290696778069289</v>
      </c>
      <c r="P42" s="157"/>
      <c r="Q42" s="157"/>
      <c r="R42" s="157">
        <v>0.30953044231900206</v>
      </c>
      <c r="S42" s="157">
        <v>0.16099201994755524</v>
      </c>
      <c r="T42" s="157">
        <v>6.5543071161048683E-2</v>
      </c>
      <c r="U42" s="157">
        <v>6.3670411985018729E-2</v>
      </c>
      <c r="V42" s="157">
        <v>0.10559313644613101</v>
      </c>
      <c r="W42" s="157"/>
      <c r="X42" s="157"/>
      <c r="Y42" s="157">
        <v>0.157736999842263</v>
      </c>
      <c r="Z42" s="157">
        <v>0.25043826696719257</v>
      </c>
      <c r="AA42" s="157">
        <v>0.14479113878230651</v>
      </c>
      <c r="AB42" s="157">
        <v>4.3062200956937802E-2</v>
      </c>
      <c r="AC42" s="157">
        <v>0.43941586983703002</v>
      </c>
      <c r="AD42" s="157">
        <v>0.15505558742809297</v>
      </c>
      <c r="AE42" s="157">
        <v>3.7523452157598499E-3</v>
      </c>
      <c r="AF42" s="157">
        <v>9.3808630393996256E-2</v>
      </c>
      <c r="AG42" s="157">
        <v>5.8161350844277676E-2</v>
      </c>
      <c r="AH42" s="157"/>
      <c r="AI42" s="157">
        <v>0.43859299367628651</v>
      </c>
      <c r="AJ42" s="157">
        <v>0.15476522115950103</v>
      </c>
      <c r="AK42" s="157">
        <v>5.6179775280898884E-3</v>
      </c>
      <c r="AL42" s="157">
        <v>9.3632958801498134E-2</v>
      </c>
      <c r="AM42" s="157">
        <v>5.8052434456928842E-2</v>
      </c>
      <c r="AN42" s="157">
        <v>0.69923468763438423</v>
      </c>
      <c r="AO42" s="157">
        <v>1.477832512315271E-2</v>
      </c>
      <c r="AP42" s="157"/>
      <c r="AQ42" s="157">
        <v>0.19992203040814088</v>
      </c>
      <c r="AR42" s="157"/>
      <c r="AS42" s="157"/>
      <c r="AT42" s="157">
        <v>0.25220191673456721</v>
      </c>
      <c r="AU42" s="157">
        <v>0.1614455185952948</v>
      </c>
      <c r="AV42" s="157">
        <v>5.6338028169014086E-2</v>
      </c>
      <c r="AW42" s="157">
        <v>6.1032863849765265E-2</v>
      </c>
    </row>
    <row r="43" spans="1:49" s="158" customFormat="1" x14ac:dyDescent="0.2">
      <c r="A43" s="171">
        <v>39</v>
      </c>
      <c r="B43" s="156" t="s">
        <v>155</v>
      </c>
      <c r="C43" s="157"/>
      <c r="D43" s="157">
        <v>0.15968828846092428</v>
      </c>
      <c r="E43" s="157"/>
      <c r="F43" s="157">
        <v>0.34628575233909376</v>
      </c>
      <c r="G43" s="157">
        <v>0.11085028690662495</v>
      </c>
      <c r="H43" s="157">
        <v>5.6338028169014086E-2</v>
      </c>
      <c r="I43" s="157">
        <v>6.1032863849765265E-2</v>
      </c>
      <c r="J43" s="157"/>
      <c r="K43" s="157"/>
      <c r="L43" s="157"/>
      <c r="M43" s="157"/>
      <c r="N43" s="157"/>
      <c r="O43" s="157"/>
      <c r="P43" s="157">
        <v>7.6292199122639695E-2</v>
      </c>
      <c r="Q43" s="157"/>
      <c r="R43" s="157">
        <v>0.43083449327235368</v>
      </c>
      <c r="S43" s="157">
        <v>0.11033229491173419</v>
      </c>
      <c r="T43" s="157">
        <v>5.6074766355140186E-2</v>
      </c>
      <c r="U43" s="157">
        <v>6.5420560747663559E-2</v>
      </c>
      <c r="V43" s="157">
        <v>0.13199142055766375</v>
      </c>
      <c r="W43" s="157"/>
      <c r="X43" s="157"/>
      <c r="Y43" s="157">
        <v>0.19529342837613514</v>
      </c>
      <c r="Z43" s="157">
        <v>0.19003020122840955</v>
      </c>
      <c r="AA43" s="157">
        <v>0.14619883040935672</v>
      </c>
      <c r="AB43" s="157">
        <v>4.3062200956937802E-2</v>
      </c>
      <c r="AC43" s="157">
        <v>0.40558132232594352</v>
      </c>
      <c r="AD43" s="157">
        <v>0.17912943096550765</v>
      </c>
      <c r="AE43" s="157">
        <v>3.7418147801683817E-3</v>
      </c>
      <c r="AF43" s="157">
        <v>0.1028999064546305</v>
      </c>
      <c r="AG43" s="157">
        <v>6.0804490177736197E-2</v>
      </c>
      <c r="AH43" s="157"/>
      <c r="AI43" s="157">
        <v>0.39213123325272858</v>
      </c>
      <c r="AJ43" s="157">
        <v>0.1988466892026248</v>
      </c>
      <c r="AK43" s="157">
        <v>4.6728971962616819E-3</v>
      </c>
      <c r="AL43" s="157">
        <v>9.3457943925233655E-2</v>
      </c>
      <c r="AM43" s="157">
        <v>6.0747663551401869E-2</v>
      </c>
      <c r="AN43" s="157">
        <v>0.68896620620758564</v>
      </c>
      <c r="AO43" s="157">
        <v>1.477832512315271E-2</v>
      </c>
      <c r="AP43" s="157"/>
      <c r="AQ43" s="157">
        <v>0.13071041108424289</v>
      </c>
      <c r="AR43" s="157"/>
      <c r="AS43" s="157"/>
      <c r="AT43" s="157">
        <v>0.42420627029893293</v>
      </c>
      <c r="AU43" s="157">
        <v>6.4901349948078932E-2</v>
      </c>
      <c r="AV43" s="157">
        <v>5.6074766355140186E-2</v>
      </c>
      <c r="AW43" s="157">
        <v>6.5420560747663559E-2</v>
      </c>
    </row>
    <row r="44" spans="1:49" s="158" customFormat="1" x14ac:dyDescent="0.2">
      <c r="A44" s="171">
        <v>40</v>
      </c>
      <c r="B44" s="156" t="s">
        <v>129</v>
      </c>
      <c r="C44" s="157"/>
      <c r="D44" s="157">
        <v>0.19426906265177274</v>
      </c>
      <c r="E44" s="157"/>
      <c r="F44" s="157">
        <v>0.30393564324422201</v>
      </c>
      <c r="G44" s="157">
        <v>0.11624077338861229</v>
      </c>
      <c r="H44" s="157">
        <v>4.6948356807511742E-2</v>
      </c>
      <c r="I44" s="157">
        <v>6.1032863849765265E-2</v>
      </c>
      <c r="J44" s="157"/>
      <c r="K44" s="157"/>
      <c r="L44" s="157"/>
      <c r="M44" s="157"/>
      <c r="N44" s="157"/>
      <c r="O44" s="157">
        <v>6.6329271770925249E-2</v>
      </c>
      <c r="P44" s="157"/>
      <c r="Q44" s="157"/>
      <c r="R44" s="157">
        <v>0.39906284596174146</v>
      </c>
      <c r="S44" s="157">
        <v>0.12855288022728148</v>
      </c>
      <c r="T44" s="157">
        <v>7.476635514018691E-2</v>
      </c>
      <c r="U44" s="157">
        <v>6.5420560747663559E-2</v>
      </c>
      <c r="V44" s="157">
        <v>8.5794423362481442E-2</v>
      </c>
      <c r="W44" s="157"/>
      <c r="X44" s="157"/>
      <c r="Y44" s="157">
        <v>0.15179013364131333</v>
      </c>
      <c r="Z44" s="157">
        <v>0.27020970909618147</v>
      </c>
      <c r="AA44" s="157">
        <v>0.15137255418150228</v>
      </c>
      <c r="AB44" s="157">
        <v>4.3062200956937802E-2</v>
      </c>
      <c r="AC44" s="157">
        <v>0.39170878642642754</v>
      </c>
      <c r="AD44" s="157">
        <v>0.1997180753877752</v>
      </c>
      <c r="AE44" s="157">
        <v>3.7418147801683817E-3</v>
      </c>
      <c r="AF44" s="157">
        <v>9.3545369504209538E-2</v>
      </c>
      <c r="AG44" s="157">
        <v>6.0804490177736197E-2</v>
      </c>
      <c r="AH44" s="157"/>
      <c r="AI44" s="157">
        <v>0.39061258646441327</v>
      </c>
      <c r="AJ44" s="157">
        <v>0.1991591628633691</v>
      </c>
      <c r="AK44" s="157">
        <v>6.5298507462686565E-3</v>
      </c>
      <c r="AL44" s="157">
        <v>9.3283582089552244E-2</v>
      </c>
      <c r="AM44" s="157">
        <v>6.0634328358208964E-2</v>
      </c>
      <c r="AN44" s="157">
        <v>0.69923468763438423</v>
      </c>
      <c r="AO44" s="157">
        <v>1.477832512315271E-2</v>
      </c>
      <c r="AP44" s="157"/>
      <c r="AQ44" s="157">
        <v>0.13994542128569862</v>
      </c>
      <c r="AR44" s="157"/>
      <c r="AS44" s="157"/>
      <c r="AT44" s="157">
        <v>0.34273593812646314</v>
      </c>
      <c r="AU44" s="157">
        <v>0.12915641487623586</v>
      </c>
      <c r="AV44" s="157">
        <v>5.6338028169014086E-2</v>
      </c>
      <c r="AW44" s="157">
        <v>6.1032863849765265E-2</v>
      </c>
    </row>
    <row r="45" spans="1:49" s="158" customFormat="1" x14ac:dyDescent="0.2">
      <c r="A45" s="171">
        <v>41</v>
      </c>
      <c r="B45" s="156" t="s">
        <v>166</v>
      </c>
      <c r="C45" s="157"/>
      <c r="D45" s="157">
        <v>0.17484215638659542</v>
      </c>
      <c r="E45" s="157"/>
      <c r="F45" s="157">
        <v>0.2796923384277295</v>
      </c>
      <c r="G45" s="157">
        <v>0.16301512780386018</v>
      </c>
      <c r="H45" s="157">
        <v>5.6338028169014086E-2</v>
      </c>
      <c r="I45" s="157">
        <v>6.1032863849765265E-2</v>
      </c>
      <c r="J45" s="157"/>
      <c r="K45" s="157"/>
      <c r="L45" s="157"/>
      <c r="M45" s="157"/>
      <c r="N45" s="157"/>
      <c r="O45" s="157"/>
      <c r="P45" s="157"/>
      <c r="Q45" s="157"/>
      <c r="R45" s="157">
        <v>0.51700139192682448</v>
      </c>
      <c r="S45" s="157">
        <v>9.7352024922118377E-2</v>
      </c>
      <c r="T45" s="157">
        <v>6.5420560747663559E-2</v>
      </c>
      <c r="U45" s="157">
        <v>6.5420560747663559E-2</v>
      </c>
      <c r="V45" s="157">
        <v>9.8993565418247831E-2</v>
      </c>
      <c r="W45" s="157"/>
      <c r="X45" s="157"/>
      <c r="Y45" s="157">
        <v>0.13199142055766375</v>
      </c>
      <c r="Z45" s="157">
        <v>0.3054056805456582</v>
      </c>
      <c r="AA45" s="157">
        <v>0.13290802764486978</v>
      </c>
      <c r="AB45" s="157">
        <v>4.3062200956937802E-2</v>
      </c>
      <c r="AC45" s="157">
        <v>0.38048255684278198</v>
      </c>
      <c r="AD45" s="157">
        <v>0.19959283062552394</v>
      </c>
      <c r="AE45" s="157">
        <v>3.7523452157598499E-3</v>
      </c>
      <c r="AF45" s="157">
        <v>0.11257035647279549</v>
      </c>
      <c r="AG45" s="157">
        <v>5.8161350844277676E-2</v>
      </c>
      <c r="AH45" s="157"/>
      <c r="AI45" s="157">
        <v>0.37977004269139103</v>
      </c>
      <c r="AJ45" s="157">
        <v>0.19921906127978325</v>
      </c>
      <c r="AK45" s="157">
        <v>5.6179775280898884E-3</v>
      </c>
      <c r="AL45" s="157">
        <v>0.11235955056179776</v>
      </c>
      <c r="AM45" s="157">
        <v>5.8052434456928842E-2</v>
      </c>
      <c r="AN45" s="157">
        <v>0.68896620620758564</v>
      </c>
      <c r="AO45" s="157">
        <v>1.477832512315271E-2</v>
      </c>
      <c r="AP45" s="157"/>
      <c r="AQ45" s="157"/>
      <c r="AR45" s="157"/>
      <c r="AS45" s="157"/>
      <c r="AT45" s="157">
        <v>0.55938467685545901</v>
      </c>
      <c r="AU45" s="157">
        <v>6.5206051121544095E-2</v>
      </c>
      <c r="AV45" s="157">
        <v>5.6338028169014086E-2</v>
      </c>
      <c r="AW45" s="157">
        <v>6.1032863849765265E-2</v>
      </c>
    </row>
    <row r="46" spans="1:49" s="158" customFormat="1" x14ac:dyDescent="0.2">
      <c r="A46" s="171">
        <v>42</v>
      </c>
      <c r="B46" s="156" t="s">
        <v>20</v>
      </c>
      <c r="C46" s="157">
        <v>0.10060362173038231</v>
      </c>
      <c r="D46" s="157"/>
      <c r="E46" s="157">
        <v>0.10432968179447052</v>
      </c>
      <c r="F46" s="157">
        <v>0.30618493570116351</v>
      </c>
      <c r="G46" s="157">
        <v>0.14272300469483568</v>
      </c>
      <c r="H46" s="157">
        <v>5.6338028169014086E-2</v>
      </c>
      <c r="I46" s="157">
        <v>6.1032863849765265E-2</v>
      </c>
      <c r="J46" s="157"/>
      <c r="K46" s="157"/>
      <c r="L46" s="157"/>
      <c r="M46" s="157"/>
      <c r="N46" s="157"/>
      <c r="O46" s="157"/>
      <c r="P46" s="157"/>
      <c r="Q46" s="157">
        <v>7.6150917272412605E-2</v>
      </c>
      <c r="R46" s="157">
        <v>0.49437897873493164</v>
      </c>
      <c r="S46" s="157">
        <v>7.476635514018691E-2</v>
      </c>
      <c r="T46" s="157">
        <v>5.6074766355140186E-2</v>
      </c>
      <c r="U46" s="157">
        <v>6.5420560747663559E-2</v>
      </c>
      <c r="V46" s="157">
        <v>0.13199142055766375</v>
      </c>
      <c r="W46" s="157"/>
      <c r="X46" s="157">
        <v>0.10252904989747097</v>
      </c>
      <c r="Y46" s="157"/>
      <c r="Z46" s="157">
        <v>0.31204493447056381</v>
      </c>
      <c r="AA46" s="157">
        <v>0.15311004784688995</v>
      </c>
      <c r="AB46" s="157">
        <v>4.3062200956937802E-2</v>
      </c>
      <c r="AC46" s="157">
        <v>0.40451869720162403</v>
      </c>
      <c r="AD46" s="157">
        <v>0.19033635152405037</v>
      </c>
      <c r="AE46" s="157">
        <v>3.7523452157598499E-3</v>
      </c>
      <c r="AF46" s="157">
        <v>0.11257035647279549</v>
      </c>
      <c r="AG46" s="157">
        <v>5.8161350844277676E-2</v>
      </c>
      <c r="AH46" s="157"/>
      <c r="AI46" s="157">
        <v>0.4033834716715915</v>
      </c>
      <c r="AJ46" s="157">
        <v>0.18980219899404835</v>
      </c>
      <c r="AK46" s="157">
        <v>6.5481758652946673E-3</v>
      </c>
      <c r="AL46" s="157">
        <v>0.11225444340505145</v>
      </c>
      <c r="AM46" s="157">
        <v>5.7998129092609915E-2</v>
      </c>
      <c r="AN46" s="157">
        <v>0.70372976776917673</v>
      </c>
      <c r="AO46" s="157">
        <v>1.477832512315271E-2</v>
      </c>
      <c r="AP46" s="157"/>
      <c r="AQ46" s="157"/>
      <c r="AR46" s="157"/>
      <c r="AS46" s="157">
        <v>0.13910624239262737</v>
      </c>
      <c r="AT46" s="157">
        <v>0.44226712934612511</v>
      </c>
      <c r="AU46" s="157">
        <v>7.5117370892018781E-2</v>
      </c>
      <c r="AV46" s="157">
        <v>4.6948356807511742E-2</v>
      </c>
      <c r="AW46" s="157">
        <v>6.1032863849765265E-2</v>
      </c>
    </row>
    <row r="47" spans="1:49" s="158" customFormat="1" x14ac:dyDescent="0.2">
      <c r="A47" s="171">
        <v>43</v>
      </c>
      <c r="B47" s="156" t="s">
        <v>28</v>
      </c>
      <c r="C47" s="196">
        <v>0</v>
      </c>
      <c r="D47" s="196">
        <v>0.20722033349522423</v>
      </c>
      <c r="E47" s="196">
        <v>0</v>
      </c>
      <c r="F47" s="196">
        <v>0.24438870666923918</v>
      </c>
      <c r="G47" s="196">
        <v>0.15860931353889099</v>
      </c>
      <c r="H47" s="196">
        <v>4.6948356807511742E-2</v>
      </c>
      <c r="I47" s="196">
        <v>6.1032863849765265E-2</v>
      </c>
      <c r="J47" s="196">
        <v>0</v>
      </c>
      <c r="K47" s="196">
        <v>0</v>
      </c>
      <c r="L47" s="196">
        <v>0</v>
      </c>
      <c r="M47" s="196">
        <v>0</v>
      </c>
      <c r="N47" s="196">
        <v>0</v>
      </c>
      <c r="O47" s="196">
        <v>9.6680631646793427E-2</v>
      </c>
      <c r="P47" s="196">
        <v>0</v>
      </c>
      <c r="Q47" s="196">
        <v>0</v>
      </c>
      <c r="R47" s="196">
        <v>0.44808603251824353</v>
      </c>
      <c r="S47" s="196">
        <v>6.3147259408941656E-2</v>
      </c>
      <c r="T47" s="196">
        <v>4.6728971962616828E-2</v>
      </c>
      <c r="U47" s="196">
        <v>6.5420560747663559E-2</v>
      </c>
      <c r="V47" s="196">
        <v>0.16385921216490792</v>
      </c>
      <c r="W47" s="196">
        <v>0</v>
      </c>
      <c r="X47" s="196">
        <v>0</v>
      </c>
      <c r="Y47" s="196">
        <v>0.13199142055766375</v>
      </c>
      <c r="Z47" s="196">
        <v>0.19663105459788952</v>
      </c>
      <c r="AA47" s="196">
        <v>0.16164489848700375</v>
      </c>
      <c r="AB47" s="196">
        <v>4.3062200956937802E-2</v>
      </c>
      <c r="AC47" s="196">
        <v>0.36773007322344436</v>
      </c>
      <c r="AD47" s="196">
        <v>0.21143816394787085</v>
      </c>
      <c r="AE47" s="196">
        <v>3.7418147801683817E-3</v>
      </c>
      <c r="AF47" s="196">
        <v>9.3545369504209538E-2</v>
      </c>
      <c r="AG47" s="196">
        <v>6.0804490177736197E-2</v>
      </c>
      <c r="AH47" s="196">
        <v>0</v>
      </c>
      <c r="AI47" s="196">
        <v>0.3670433690717666</v>
      </c>
      <c r="AJ47" s="196">
        <v>0.21104332143816432</v>
      </c>
      <c r="AK47" s="196">
        <v>5.6022408963585443E-3</v>
      </c>
      <c r="AL47" s="196">
        <v>9.3370681605975739E-2</v>
      </c>
      <c r="AM47" s="196">
        <v>6.0690943043884227E-2</v>
      </c>
      <c r="AN47" s="196">
        <v>0.67946322405299819</v>
      </c>
      <c r="AO47" s="196">
        <v>1.477832512315271E-2</v>
      </c>
      <c r="AP47" s="196">
        <v>0</v>
      </c>
      <c r="AQ47" s="196">
        <v>0.19426906265177274</v>
      </c>
      <c r="AR47" s="196">
        <v>0</v>
      </c>
      <c r="AS47" s="196">
        <v>0</v>
      </c>
      <c r="AT47" s="196">
        <v>0.25725127017814658</v>
      </c>
      <c r="AU47" s="196">
        <v>0.15860931353889099</v>
      </c>
      <c r="AV47" s="196">
        <v>4.6948356807511742E-2</v>
      </c>
      <c r="AW47" s="196">
        <v>6.1032863849765265E-2</v>
      </c>
    </row>
    <row r="48" spans="1:49" s="158" customFormat="1" x14ac:dyDescent="0.2">
      <c r="A48" s="171">
        <v>44</v>
      </c>
      <c r="B48" s="156" t="s">
        <v>29</v>
      </c>
      <c r="C48" s="157"/>
      <c r="D48" s="157">
        <v>0.16270956992606478</v>
      </c>
      <c r="E48" s="157"/>
      <c r="F48" s="157">
        <v>0.43446687810721396</v>
      </c>
      <c r="G48" s="157"/>
      <c r="H48" s="157">
        <v>4.6860356138706649E-2</v>
      </c>
      <c r="I48" s="157">
        <v>6.2792877225866905E-2</v>
      </c>
      <c r="J48" s="157"/>
      <c r="K48" s="157"/>
      <c r="L48" s="157"/>
      <c r="M48" s="157"/>
      <c r="N48" s="157"/>
      <c r="O48" s="157"/>
      <c r="P48" s="157"/>
      <c r="Q48" s="157"/>
      <c r="R48" s="157">
        <v>0.58798044191372167</v>
      </c>
      <c r="S48" s="157"/>
      <c r="T48" s="157">
        <v>4.6728971962616828E-2</v>
      </c>
      <c r="U48" s="157">
        <v>6.5420560747663559E-2</v>
      </c>
      <c r="V48" s="157"/>
      <c r="W48" s="157"/>
      <c r="X48" s="157"/>
      <c r="Y48" s="157">
        <v>0.26556192904185261</v>
      </c>
      <c r="Z48" s="157">
        <v>0.37987666670887515</v>
      </c>
      <c r="AA48" s="157"/>
      <c r="AB48" s="157">
        <v>4.3977055449330782E-2</v>
      </c>
      <c r="AC48" s="157">
        <v>0.38086329012428166</v>
      </c>
      <c r="AD48" s="157">
        <v>0.20443690024098771</v>
      </c>
      <c r="AE48" s="157">
        <v>3.7418147801683817E-3</v>
      </c>
      <c r="AF48" s="157">
        <v>9.3545369504209538E-2</v>
      </c>
      <c r="AG48" s="157">
        <v>6.0804490177736197E-2</v>
      </c>
      <c r="AH48" s="157"/>
      <c r="AI48" s="157">
        <v>0.37979744136460564</v>
      </c>
      <c r="AJ48" s="157">
        <v>0.20386478205001488</v>
      </c>
      <c r="AK48" s="157">
        <v>6.5298507462686565E-3</v>
      </c>
      <c r="AL48" s="157">
        <v>9.3283582089552244E-2</v>
      </c>
      <c r="AM48" s="157">
        <v>6.0634328358208964E-2</v>
      </c>
      <c r="AN48" s="157">
        <v>0.70028011204481799</v>
      </c>
      <c r="AO48" s="157">
        <v>1.9607843137254902E-2</v>
      </c>
      <c r="AP48" s="157"/>
      <c r="AQ48" s="157"/>
      <c r="AR48" s="157"/>
      <c r="AS48" s="157"/>
      <c r="AT48" s="157">
        <v>0.58798044191372167</v>
      </c>
      <c r="AU48" s="157"/>
      <c r="AV48" s="157">
        <v>4.6728971962616828E-2</v>
      </c>
      <c r="AW48" s="157">
        <v>6.5420560747663559E-2</v>
      </c>
    </row>
    <row r="49" spans="1:49" s="158" customFormat="1" x14ac:dyDescent="0.2">
      <c r="A49" s="171">
        <v>45</v>
      </c>
      <c r="B49" s="156" t="s">
        <v>51</v>
      </c>
      <c r="C49" s="157"/>
      <c r="D49" s="157">
        <v>0.19390492195326889</v>
      </c>
      <c r="E49" s="157"/>
      <c r="F49" s="157">
        <v>0.41210525965954781</v>
      </c>
      <c r="G49" s="157"/>
      <c r="H49" s="157">
        <v>7.4976569821930641E-2</v>
      </c>
      <c r="I49" s="157">
        <v>6.2792877225866905E-2</v>
      </c>
      <c r="J49" s="157"/>
      <c r="K49" s="157"/>
      <c r="L49" s="157"/>
      <c r="M49" s="157"/>
      <c r="N49" s="157"/>
      <c r="O49" s="157"/>
      <c r="P49" s="157"/>
      <c r="Q49" s="157"/>
      <c r="R49" s="157">
        <v>0.6230529595015577</v>
      </c>
      <c r="S49" s="157"/>
      <c r="T49" s="157">
        <v>5.6074766355140186E-2</v>
      </c>
      <c r="U49" s="157">
        <v>6.5420560747663559E-2</v>
      </c>
      <c r="V49" s="157">
        <v>0.13173928794914863</v>
      </c>
      <c r="W49" s="157"/>
      <c r="X49" s="157"/>
      <c r="Y49" s="157">
        <v>0.1646741099364358</v>
      </c>
      <c r="Z49" s="157">
        <v>0.37256057496257461</v>
      </c>
      <c r="AA49" s="157"/>
      <c r="AB49" s="157">
        <v>4.4890162368672396E-2</v>
      </c>
      <c r="AC49" s="157">
        <v>0.41984282134375944</v>
      </c>
      <c r="AD49" s="157">
        <v>0.15967426450041916</v>
      </c>
      <c r="AE49" s="157">
        <v>3.7523452157598499E-3</v>
      </c>
      <c r="AF49" s="157">
        <v>0.11257035647279549</v>
      </c>
      <c r="AG49" s="157">
        <v>5.8161350844277676E-2</v>
      </c>
      <c r="AH49" s="157"/>
      <c r="AI49" s="157">
        <v>0.41944934166115044</v>
      </c>
      <c r="AJ49" s="157">
        <v>0.15952461664240561</v>
      </c>
      <c r="AK49" s="157">
        <v>4.6860356138706651E-3</v>
      </c>
      <c r="AL49" s="157">
        <v>0.11246485473289596</v>
      </c>
      <c r="AM49" s="157">
        <v>5.8106841611996245E-2</v>
      </c>
      <c r="AN49" s="157">
        <v>0.68896620620758564</v>
      </c>
      <c r="AO49" s="157">
        <v>1.477832512315271E-2</v>
      </c>
      <c r="AP49" s="157"/>
      <c r="AQ49" s="157"/>
      <c r="AR49" s="157"/>
      <c r="AS49" s="157"/>
      <c r="AT49" s="157">
        <v>0.6230529595015577</v>
      </c>
      <c r="AU49" s="157"/>
      <c r="AV49" s="157">
        <v>5.6074766355140186E-2</v>
      </c>
      <c r="AW49" s="157">
        <v>6.5420560747663559E-2</v>
      </c>
    </row>
    <row r="50" spans="1:49" s="158" customFormat="1" x14ac:dyDescent="0.2">
      <c r="A50" s="171">
        <v>46</v>
      </c>
      <c r="B50" s="156" t="s">
        <v>89</v>
      </c>
      <c r="C50" s="196">
        <v>0</v>
      </c>
      <c r="D50" s="196">
        <v>0.19991745343858022</v>
      </c>
      <c r="E50" s="196">
        <v>0</v>
      </c>
      <c r="F50" s="196">
        <v>0.25220191673456721</v>
      </c>
      <c r="G50" s="196">
        <v>0.15498769785148303</v>
      </c>
      <c r="H50" s="196">
        <v>5.6338028169014086E-2</v>
      </c>
      <c r="I50" s="196">
        <v>6.1032863849765265E-2</v>
      </c>
      <c r="J50" s="196">
        <v>0</v>
      </c>
      <c r="K50" s="196">
        <v>0</v>
      </c>
      <c r="L50" s="196">
        <v>0</v>
      </c>
      <c r="M50" s="196">
        <v>0</v>
      </c>
      <c r="N50" s="196">
        <v>0</v>
      </c>
      <c r="O50" s="196">
        <v>0.13290696778069289</v>
      </c>
      <c r="P50" s="196">
        <v>0</v>
      </c>
      <c r="Q50" s="196">
        <v>0</v>
      </c>
      <c r="R50" s="196">
        <v>0.30953044231900206</v>
      </c>
      <c r="S50" s="196">
        <v>0.16099201994755524</v>
      </c>
      <c r="T50" s="196">
        <v>6.5543071161048683E-2</v>
      </c>
      <c r="U50" s="196">
        <v>6.3670411985018729E-2</v>
      </c>
      <c r="V50" s="196">
        <v>0.10559313644613101</v>
      </c>
      <c r="W50" s="196">
        <v>0</v>
      </c>
      <c r="X50" s="196">
        <v>0</v>
      </c>
      <c r="Y50" s="196">
        <v>0.157736999842263</v>
      </c>
      <c r="Z50" s="196">
        <v>0.25043826696719257</v>
      </c>
      <c r="AA50" s="196">
        <v>0.14479113878230651</v>
      </c>
      <c r="AB50" s="196">
        <v>4.3062200956937802E-2</v>
      </c>
      <c r="AC50" s="196">
        <v>0.43941586983703002</v>
      </c>
      <c r="AD50" s="196">
        <v>0.15505558742809297</v>
      </c>
      <c r="AE50" s="196">
        <v>3.7523452157598499E-3</v>
      </c>
      <c r="AF50" s="196">
        <v>9.3808630393996256E-2</v>
      </c>
      <c r="AG50" s="196">
        <v>5.8161350844277676E-2</v>
      </c>
      <c r="AH50" s="196">
        <v>0</v>
      </c>
      <c r="AI50" s="196">
        <v>0.43859299367628651</v>
      </c>
      <c r="AJ50" s="196">
        <v>0.15476522115950103</v>
      </c>
      <c r="AK50" s="196">
        <v>5.6179775280898884E-3</v>
      </c>
      <c r="AL50" s="196">
        <v>9.3632958801498134E-2</v>
      </c>
      <c r="AM50" s="196">
        <v>5.8052434456928842E-2</v>
      </c>
      <c r="AN50" s="196">
        <v>0.69923468763438423</v>
      </c>
      <c r="AO50" s="196">
        <v>1.477832512315271E-2</v>
      </c>
      <c r="AP50" s="196">
        <v>0</v>
      </c>
      <c r="AQ50" s="196">
        <v>0.19992203040814088</v>
      </c>
      <c r="AR50" s="196">
        <v>0</v>
      </c>
      <c r="AS50" s="196">
        <v>0</v>
      </c>
      <c r="AT50" s="196">
        <v>0.25220191673456721</v>
      </c>
      <c r="AU50" s="196">
        <v>0.1614455185952948</v>
      </c>
      <c r="AV50" s="196">
        <v>5.6338028169014086E-2</v>
      </c>
      <c r="AW50" s="196">
        <v>6.1032863849765265E-2</v>
      </c>
    </row>
    <row r="51" spans="1:49" x14ac:dyDescent="0.2">
      <c r="B51" s="173"/>
    </row>
    <row r="52" spans="1:49" x14ac:dyDescent="0.2">
      <c r="B52" s="173"/>
      <c r="C52" s="173">
        <v>2</v>
      </c>
      <c r="D52" s="173">
        <v>3</v>
      </c>
      <c r="E52" s="173">
        <v>4</v>
      </c>
      <c r="F52" s="173">
        <v>5</v>
      </c>
      <c r="G52" s="173">
        <v>6</v>
      </c>
      <c r="H52" s="173">
        <v>7</v>
      </c>
      <c r="I52" s="173">
        <v>8</v>
      </c>
      <c r="J52" s="173">
        <v>9</v>
      </c>
      <c r="K52" s="173">
        <v>10</v>
      </c>
      <c r="L52" s="173">
        <v>11</v>
      </c>
      <c r="M52" s="173">
        <v>12</v>
      </c>
      <c r="N52" s="173">
        <v>13</v>
      </c>
      <c r="O52" s="173">
        <v>14</v>
      </c>
      <c r="P52" s="173">
        <v>15</v>
      </c>
      <c r="Q52" s="173">
        <v>16</v>
      </c>
      <c r="R52" s="173">
        <v>17</v>
      </c>
      <c r="S52" s="173">
        <v>18</v>
      </c>
      <c r="T52" s="173">
        <v>19</v>
      </c>
      <c r="U52" s="173">
        <v>20</v>
      </c>
      <c r="V52" s="173">
        <v>21</v>
      </c>
      <c r="W52" s="173">
        <v>22</v>
      </c>
      <c r="X52" s="173">
        <v>23</v>
      </c>
      <c r="Y52" s="173">
        <v>24</v>
      </c>
      <c r="Z52" s="173">
        <v>25</v>
      </c>
      <c r="AA52" s="173">
        <v>26</v>
      </c>
      <c r="AB52" s="173">
        <v>27</v>
      </c>
      <c r="AC52" s="173">
        <v>28</v>
      </c>
      <c r="AD52" s="173">
        <v>29</v>
      </c>
      <c r="AE52" s="173">
        <v>30</v>
      </c>
      <c r="AF52" s="173">
        <v>31</v>
      </c>
      <c r="AG52" s="173">
        <v>32</v>
      </c>
      <c r="AH52" s="173">
        <v>33</v>
      </c>
      <c r="AI52" s="173">
        <v>34</v>
      </c>
      <c r="AJ52" s="173">
        <v>35</v>
      </c>
      <c r="AK52" s="173">
        <v>36</v>
      </c>
      <c r="AL52" s="173">
        <v>37</v>
      </c>
      <c r="AM52" s="173">
        <v>38</v>
      </c>
      <c r="AN52" s="173">
        <v>39</v>
      </c>
      <c r="AO52" s="173">
        <v>40</v>
      </c>
      <c r="AP52" s="173">
        <v>41</v>
      </c>
      <c r="AQ52" s="173">
        <v>42</v>
      </c>
      <c r="AR52" s="173">
        <v>43</v>
      </c>
      <c r="AS52" s="173">
        <v>44</v>
      </c>
      <c r="AT52" s="173">
        <v>45</v>
      </c>
      <c r="AU52" s="173">
        <v>46</v>
      </c>
      <c r="AV52" s="173">
        <v>47</v>
      </c>
      <c r="AW52" s="173">
        <v>48</v>
      </c>
    </row>
    <row r="53" spans="1:49" x14ac:dyDescent="0.2">
      <c r="B53" s="173"/>
      <c r="AP53" s="174"/>
    </row>
    <row r="54" spans="1:49" x14ac:dyDescent="0.2">
      <c r="B54" s="173"/>
    </row>
    <row r="55" spans="1:49" x14ac:dyDescent="0.2">
      <c r="B55" s="173"/>
    </row>
    <row r="56" spans="1:49" x14ac:dyDescent="0.2">
      <c r="B56" s="173"/>
    </row>
    <row r="57" spans="1:49" x14ac:dyDescent="0.2">
      <c r="B57" s="173"/>
    </row>
    <row r="58" spans="1:49" x14ac:dyDescent="0.2">
      <c r="B58" s="173"/>
    </row>
    <row r="59" spans="1:49" x14ac:dyDescent="0.2">
      <c r="B59" s="173"/>
    </row>
    <row r="60" spans="1:49" x14ac:dyDescent="0.2">
      <c r="B60" s="173"/>
    </row>
    <row r="61" spans="1:49" x14ac:dyDescent="0.2">
      <c r="B61" s="173"/>
    </row>
    <row r="62" spans="1:49" x14ac:dyDescent="0.2">
      <c r="B62" s="173"/>
    </row>
    <row r="63" spans="1:49" x14ac:dyDescent="0.2">
      <c r="B63" s="173"/>
    </row>
    <row r="64" spans="1:49" x14ac:dyDescent="0.2">
      <c r="B64" s="173"/>
    </row>
    <row r="65" spans="1:2" x14ac:dyDescent="0.2">
      <c r="A65" s="175"/>
      <c r="B65" s="173"/>
    </row>
    <row r="66" spans="1:2" x14ac:dyDescent="0.2">
      <c r="A66" s="175"/>
      <c r="B66" s="173"/>
    </row>
    <row r="67" spans="1:2" x14ac:dyDescent="0.2">
      <c r="A67" s="175"/>
      <c r="B67" s="173"/>
    </row>
    <row r="68" spans="1:2" x14ac:dyDescent="0.2">
      <c r="A68" s="175"/>
      <c r="B68" s="173"/>
    </row>
    <row r="69" spans="1:2" x14ac:dyDescent="0.2">
      <c r="A69" s="175"/>
      <c r="B69" s="173"/>
    </row>
    <row r="70" spans="1:2" x14ac:dyDescent="0.2">
      <c r="A70" s="175"/>
      <c r="B70" s="173"/>
    </row>
    <row r="71" spans="1:2" x14ac:dyDescent="0.2">
      <c r="A71" s="175"/>
      <c r="B71" s="173"/>
    </row>
    <row r="72" spans="1:2" x14ac:dyDescent="0.2">
      <c r="A72" s="175"/>
      <c r="B72" s="173"/>
    </row>
    <row r="73" spans="1:2" x14ac:dyDescent="0.2">
      <c r="A73" s="175"/>
      <c r="B73" s="173"/>
    </row>
    <row r="74" spans="1:2" x14ac:dyDescent="0.2">
      <c r="A74" s="175"/>
      <c r="B74" s="173"/>
    </row>
    <row r="75" spans="1:2" x14ac:dyDescent="0.2">
      <c r="A75" s="175"/>
      <c r="B75" s="173"/>
    </row>
    <row r="76" spans="1:2" x14ac:dyDescent="0.2">
      <c r="A76" s="175"/>
      <c r="B76" s="173"/>
    </row>
    <row r="77" spans="1:2" x14ac:dyDescent="0.2">
      <c r="A77" s="175"/>
      <c r="B77" s="173"/>
    </row>
    <row r="78" spans="1:2" x14ac:dyDescent="0.2">
      <c r="A78" s="175"/>
      <c r="B78" s="173"/>
    </row>
    <row r="79" spans="1:2" x14ac:dyDescent="0.2">
      <c r="A79" s="175"/>
      <c r="B79" s="173"/>
    </row>
    <row r="80" spans="1:2" x14ac:dyDescent="0.2">
      <c r="A80" s="175"/>
      <c r="B80" s="173"/>
    </row>
    <row r="81" spans="1:2" x14ac:dyDescent="0.2">
      <c r="A81" s="175"/>
      <c r="B81" s="173"/>
    </row>
    <row r="82" spans="1:2" x14ac:dyDescent="0.2">
      <c r="A82" s="175"/>
      <c r="B82" s="173"/>
    </row>
    <row r="83" spans="1:2" x14ac:dyDescent="0.2">
      <c r="A83" s="175"/>
      <c r="B83" s="173"/>
    </row>
    <row r="84" spans="1:2" x14ac:dyDescent="0.2">
      <c r="A84" s="175"/>
      <c r="B84" s="173"/>
    </row>
    <row r="85" spans="1:2" x14ac:dyDescent="0.2">
      <c r="A85" s="175"/>
      <c r="B85" s="173"/>
    </row>
    <row r="86" spans="1:2" x14ac:dyDescent="0.2">
      <c r="A86" s="175"/>
      <c r="B86" s="173"/>
    </row>
    <row r="87" spans="1:2" x14ac:dyDescent="0.2">
      <c r="A87" s="175"/>
      <c r="B87" s="173"/>
    </row>
    <row r="88" spans="1:2" x14ac:dyDescent="0.2">
      <c r="A88" s="175"/>
      <c r="B88" s="173"/>
    </row>
    <row r="89" spans="1:2" x14ac:dyDescent="0.2">
      <c r="A89" s="175"/>
      <c r="B89" s="173"/>
    </row>
  </sheetData>
  <sheetProtection password="EEEA" sheet="1" objects="1" scenarios="1" selectLockedCells="1" selectUnlockedCells="1"/>
  <autoFilter ref="A4:AW50"/>
  <mergeCells count="14">
    <mergeCell ref="AP1:AW1"/>
    <mergeCell ref="C3:I3"/>
    <mergeCell ref="J3:N3"/>
    <mergeCell ref="O3:U3"/>
    <mergeCell ref="V3:AB3"/>
    <mergeCell ref="AN3:AO3"/>
    <mergeCell ref="AP3:AW3"/>
    <mergeCell ref="O1:U1"/>
    <mergeCell ref="V1:AB1"/>
    <mergeCell ref="AC1:AG1"/>
    <mergeCell ref="AH1:AM1"/>
    <mergeCell ref="AN1:AO1"/>
    <mergeCell ref="C1:I1"/>
    <mergeCell ref="J1:N1"/>
  </mergeCells>
  <conditionalFormatting sqref="C53:AO89 B51:B89 C51:AW52">
    <cfRule type="cellIs" dxfId="1" priority="2" stopIfTrue="1" operator="equal">
      <formula>FALSE</formula>
    </cfRule>
  </conditionalFormatting>
  <conditionalFormatting sqref="AP53:AP90 AQ53:AW89">
    <cfRule type="cellIs" dxfId="0" priority="1" stopIfTrue="1" operator="equal">
      <formula>FALSE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14</vt:i4>
      </vt:variant>
    </vt:vector>
  </HeadingPairs>
  <TitlesOfParts>
    <vt:vector size="19" baseType="lpstr">
      <vt:lpstr>Анализ стоимости</vt:lpstr>
      <vt:lpstr>НМЦК</vt:lpstr>
      <vt:lpstr>НМЦК на печать</vt:lpstr>
      <vt:lpstr>Расчет инфляции</vt:lpstr>
      <vt:lpstr>Рецепты а.б.</vt:lpstr>
      <vt:lpstr>вид_работ</vt:lpstr>
      <vt:lpstr>'Анализ стоимости'!Заголовки_для_печати</vt:lpstr>
      <vt:lpstr>инф</vt:lpstr>
      <vt:lpstr>'Анализ стоимости'!Область_печати</vt:lpstr>
      <vt:lpstr>НМЦК!Область_печати</vt:lpstr>
      <vt:lpstr>'НМЦК на печать'!Область_печати</vt:lpstr>
      <vt:lpstr>район</vt:lpstr>
      <vt:lpstr>рем_содер</vt:lpstr>
      <vt:lpstr>рем2015</vt:lpstr>
      <vt:lpstr>рем2016</vt:lpstr>
      <vt:lpstr>сод2015</vt:lpstr>
      <vt:lpstr>сод2016</vt:lpstr>
      <vt:lpstr>таблица</vt:lpstr>
      <vt:lpstr>уров_цен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Белошкура Андрей Александрович</dc:creator>
  <cp:lastModifiedBy>Star</cp:lastModifiedBy>
  <cp:lastPrinted>2015-04-07T12:05:32Z</cp:lastPrinted>
  <dcterms:created xsi:type="dcterms:W3CDTF">2004-02-05T08:45:17Z</dcterms:created>
  <dcterms:modified xsi:type="dcterms:W3CDTF">2015-04-07T12:06:12Z</dcterms:modified>
</cp:coreProperties>
</file>